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encion\Desktop\"/>
    </mc:Choice>
  </mc:AlternateContent>
  <bookViews>
    <workbookView xWindow="0" yWindow="0" windowWidth="25200" windowHeight="11880"/>
  </bookViews>
  <sheets>
    <sheet name="Listado de Partidas" sheetId="1" r:id="rId1"/>
  </sheets>
  <definedNames>
    <definedName name="_xlnm.Print_Area" localSheetId="0">'Listado de Partidas'!$A$1:$D$457</definedName>
    <definedName name="_xlnm.Print_Titles" localSheetId="0">'Listado de Partidas'!$1:$10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1" i="1" l="1"/>
  <c r="C399" i="1"/>
  <c r="C372" i="1"/>
  <c r="C377" i="1" s="1"/>
  <c r="C368" i="1"/>
  <c r="C367" i="1"/>
  <c r="C366" i="1"/>
  <c r="C365" i="1"/>
  <c r="C369" i="1" s="1"/>
  <c r="C362" i="1"/>
  <c r="C361" i="1"/>
  <c r="C360" i="1"/>
  <c r="C359" i="1"/>
  <c r="C356" i="1"/>
  <c r="C335" i="1"/>
  <c r="C340" i="1" s="1"/>
  <c r="C331" i="1"/>
  <c r="C330" i="1"/>
  <c r="C329" i="1"/>
  <c r="C328" i="1"/>
  <c r="C327" i="1"/>
  <c r="C332" i="1" s="1"/>
  <c r="C324" i="1"/>
  <c r="C323" i="1"/>
  <c r="C322" i="1"/>
  <c r="C321" i="1"/>
  <c r="C320" i="1"/>
  <c r="C317" i="1"/>
  <c r="C296" i="1"/>
  <c r="C302" i="1" s="1"/>
  <c r="C292" i="1"/>
  <c r="C291" i="1"/>
  <c r="C290" i="1"/>
  <c r="C289" i="1"/>
  <c r="C288" i="1"/>
  <c r="C293" i="1" s="1"/>
  <c r="C285" i="1"/>
  <c r="C284" i="1"/>
  <c r="C283" i="1"/>
  <c r="C282" i="1"/>
  <c r="C262" i="1"/>
  <c r="C261" i="1"/>
  <c r="C267" i="1" s="1"/>
  <c r="C258" i="1"/>
  <c r="C257" i="1"/>
  <c r="C256" i="1"/>
  <c r="C255" i="1"/>
  <c r="C251" i="1"/>
  <c r="C250" i="1"/>
  <c r="C254" i="1" s="1"/>
  <c r="C249" i="1"/>
  <c r="C248" i="1"/>
  <c r="C247" i="1"/>
  <c r="C244" i="1"/>
  <c r="C242" i="1"/>
  <c r="C243" i="1" s="1"/>
  <c r="C236" i="1"/>
  <c r="C226" i="1"/>
  <c r="C225" i="1"/>
  <c r="C222" i="1"/>
  <c r="C221" i="1"/>
  <c r="C223" i="1" s="1"/>
  <c r="C220" i="1"/>
  <c r="C206" i="1"/>
  <c r="C204" i="1"/>
  <c r="C200" i="1"/>
  <c r="C198" i="1"/>
  <c r="C173" i="1"/>
  <c r="C171" i="1"/>
  <c r="C160" i="1"/>
  <c r="C159" i="1"/>
  <c r="C157" i="1"/>
  <c r="C156" i="1"/>
  <c r="C155" i="1"/>
  <c r="C153" i="1"/>
  <c r="C152" i="1"/>
  <c r="C151" i="1"/>
  <c r="C149" i="1"/>
  <c r="C147" i="1"/>
  <c r="C146" i="1"/>
  <c r="C145" i="1"/>
  <c r="C134" i="1"/>
  <c r="C133" i="1"/>
  <c r="C132" i="1"/>
  <c r="C131" i="1"/>
  <c r="C130" i="1"/>
  <c r="C129" i="1"/>
  <c r="C128" i="1"/>
  <c r="C126" i="1"/>
  <c r="C116" i="1"/>
  <c r="C115" i="1"/>
  <c r="C114" i="1"/>
  <c r="C101" i="1"/>
  <c r="C100" i="1"/>
  <c r="C99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1" i="1"/>
  <c r="C80" i="1"/>
  <c r="C79" i="1"/>
  <c r="C78" i="1"/>
  <c r="C77" i="1"/>
  <c r="C76" i="1"/>
  <c r="C75" i="1"/>
  <c r="C74" i="1"/>
  <c r="C73" i="1"/>
  <c r="C72" i="1"/>
  <c r="C71" i="1"/>
  <c r="C68" i="1"/>
  <c r="C67" i="1"/>
  <c r="C66" i="1"/>
  <c r="C65" i="1"/>
  <c r="C64" i="1"/>
  <c r="C63" i="1"/>
  <c r="C62" i="1"/>
  <c r="C58" i="1"/>
  <c r="C57" i="1"/>
  <c r="C53" i="1"/>
  <c r="C52" i="1"/>
  <c r="C51" i="1"/>
  <c r="C50" i="1"/>
  <c r="C49" i="1"/>
  <c r="C48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8" i="1"/>
  <c r="C16" i="1"/>
  <c r="C15" i="1"/>
  <c r="C14" i="1"/>
</calcChain>
</file>

<file path=xl/sharedStrings.xml><?xml version="1.0" encoding="utf-8"?>
<sst xmlns="http://schemas.openxmlformats.org/spreadsheetml/2006/main" count="1040" uniqueCount="361">
  <si>
    <t xml:space="preserve"> MINISTERIO  DE OBRAS PÚBLICAS Y COMUNICACIONES</t>
  </si>
  <si>
    <t>SANTO DOMINGO, REP. DOM.</t>
  </si>
  <si>
    <t>DISEÑO Y CONSTRUCCIÓN DE PLANTA FÍSICA</t>
  </si>
  <si>
    <t xml:space="preserve">PRESUP:     10-18 PARA LA CONSTRUCCIÓN DEL CENTRO DE SERVICIOS Y LA REMODELACIÓN DE LOS </t>
  </si>
  <si>
    <t xml:space="preserve">                     DEPARTAMENTOS DE INSPECCIÓN, TRANSPARENCIA, PLANIFICACIÓN Y DESARROLLO Y </t>
  </si>
  <si>
    <t xml:space="preserve">                     COORDINACIÓN DE SERVICIOS DEL MINISTERIO DE OBRAS PÚBLICAS Y COMUNICACIONES </t>
  </si>
  <si>
    <t xml:space="preserve">             (MOPC), UBICADO EN  EL  DISTRITO  NACIONAL , REPÚBLICA DOMINICANA .-</t>
  </si>
  <si>
    <t>No.</t>
  </si>
  <si>
    <t>PARTIDAS</t>
  </si>
  <si>
    <t>CANT.</t>
  </si>
  <si>
    <t>UD</t>
  </si>
  <si>
    <t>I.-</t>
  </si>
  <si>
    <t>Construcción de nuevas áreas</t>
  </si>
  <si>
    <t>A.-</t>
  </si>
  <si>
    <t>Centro de servicios</t>
  </si>
  <si>
    <t>1.-</t>
  </si>
  <si>
    <t>Preliminares</t>
  </si>
  <si>
    <t>a.-</t>
  </si>
  <si>
    <t>Corte de pavimento (Fresado)</t>
  </si>
  <si>
    <r>
      <t>Mt</t>
    </r>
    <r>
      <rPr>
        <sz val="14"/>
        <color theme="1"/>
        <rFont val="Calibri"/>
        <family val="2"/>
      </rPr>
      <t>³</t>
    </r>
  </si>
  <si>
    <t>b.-</t>
  </si>
  <si>
    <t>Relleno para emplazamiento de edificio</t>
  </si>
  <si>
    <t>c.-</t>
  </si>
  <si>
    <t>Relleno para cerrar cisterna y flitrante</t>
  </si>
  <si>
    <t>d.-</t>
  </si>
  <si>
    <t>Corte y bote de árboles existentes</t>
  </si>
  <si>
    <t>ud</t>
  </si>
  <si>
    <t>e.-</t>
  </si>
  <si>
    <t>Bote de materiales</t>
  </si>
  <si>
    <t>2.-</t>
  </si>
  <si>
    <t>Hormigón armado en:</t>
  </si>
  <si>
    <t>Zapata Z1 2.50x2.50x0.50 mts, Ø1/2"@0.13mts (ver detalle en plano)</t>
  </si>
  <si>
    <t>Zapata Z2 3.10x2.50x0.30 mts, Ø1/2"@0.13mts (ver detalle en plano)</t>
  </si>
  <si>
    <t>Zapata Z3 3.15x2.50x0.50 mts, Ø1/2"@0.13mts (ver detalle en plano)</t>
  </si>
  <si>
    <t>Zapata Z4 3.75x2.50x0.30 mts, Ø1/2"@0.13mts, adic. Ø1/2"@0.13mts (ver detalle en plano)</t>
  </si>
  <si>
    <t>Zapata de escalera Ø1/2"@0.20mts y Ø3/8"@0.20mts (ver detalle en plano)</t>
  </si>
  <si>
    <t>f.-</t>
  </si>
  <si>
    <t>Viga riostra (VF) (0.30x0.50mts) (ver detalle en plano)</t>
  </si>
  <si>
    <t>Pedestal para techo de aluzinc 12Ø1", est. Ø3/8"@0.10mts (ver detalle en plano)</t>
  </si>
  <si>
    <t>Muro de hormigón MH1 40Ø1", 8Ø3/4", est.Ø3/8"@0.10mts, Ø3/4"@0.15mts y Ø3/4@0.20mts.(ver detalle en plano)</t>
  </si>
  <si>
    <t>Muro de hormigón MH2 24Ø1", est. Ø1/2@0.15mts, Ø1/2@0.20mts, Ø3/8"@0.10mts y Ø3/4@0.20mts (ver detalle en plano)</t>
  </si>
  <si>
    <t>Muro de hormigón MH3 8Ø1", 24Ø3/4", est. Ø3/8"@0.10mts, Ø1/2@0.20mts y Ø3/4@0.20mts</t>
  </si>
  <si>
    <t>g.-</t>
  </si>
  <si>
    <t>Muro de hormigón MH4 8Ø1", 16Ø3/4", est. Ø1/2"@0.15mts, Ø3/8"@0.10mts y Ø3/4@0.20mts</t>
  </si>
  <si>
    <t>h.-</t>
  </si>
  <si>
    <t>Viga V1 (2Ø3/4", est. Ø3/8"@0.10 mts)</t>
  </si>
  <si>
    <t>i.-</t>
  </si>
  <si>
    <t>Viga V2 (8Ø1/2", 6Ø3/4", est. Ø3/4"@0.10 mts) (ver detalle en plano)</t>
  </si>
  <si>
    <t>j.-</t>
  </si>
  <si>
    <t>Columna de amarre C1 (ver detalle en plano)</t>
  </si>
  <si>
    <t>k.-</t>
  </si>
  <si>
    <t>Columna de amarre C2  (ver detalle en plano)</t>
  </si>
  <si>
    <t>l.-</t>
  </si>
  <si>
    <t>Losa aligerada HA e= 0.15 nervios 1/2" topping 0.05m,D2.3x2.3, 150x150mm (N1, N2 y entrepiso) (ver detalle en plano)</t>
  </si>
  <si>
    <t>m.-</t>
  </si>
  <si>
    <t>Losa aligerada HA e= 0.20 nervios 1/2" topping 0.05m,D2.3x2.3, 150x150mm (N1, N2 y entrepiso) (ver detalle en plano)</t>
  </si>
  <si>
    <t>n.-</t>
  </si>
  <si>
    <t>Rampa de escaleras H.A.  E=0.20m 1/2"@0.10mts y 3/8"@0.20mts, f´c=210kg/cm2 (ver detalle en plano)</t>
  </si>
  <si>
    <t>ñ.-</t>
  </si>
  <si>
    <t>Viga 0.25x0.50 mts  (f´c= 210 kg/cm2) en cisterna (ver detalle en plano)</t>
  </si>
  <si>
    <t>o.-</t>
  </si>
  <si>
    <t>Muro de contención Ø3/4", y 9Ø3/4" adicional (cisterna) (ver detalle en plano)</t>
  </si>
  <si>
    <t>p.-</t>
  </si>
  <si>
    <t>Zapata de muro de contención para cisterna (ver detalle en plano)</t>
  </si>
  <si>
    <t>q.-</t>
  </si>
  <si>
    <t>Zapata Z1en cisterna (ver detalle en plano)</t>
  </si>
  <si>
    <t>r.-</t>
  </si>
  <si>
    <t>Columna C1 en cisterna (0.30 x 0.30 mts) (ver detalle en plano)</t>
  </si>
  <si>
    <t>s.-</t>
  </si>
  <si>
    <t>Muro de bloques de 8" - 3/8" @0.60 mts (ver detalle en plano)</t>
  </si>
  <si>
    <t>Mt²</t>
  </si>
  <si>
    <t>t.-</t>
  </si>
  <si>
    <t>Suministro y colocación de juntas de poliestireno expandido (ver detalle en plano)</t>
  </si>
  <si>
    <t>Ml</t>
  </si>
  <si>
    <t>3.-</t>
  </si>
  <si>
    <t>Albañilería</t>
  </si>
  <si>
    <t>Pañete maestreado en exterior (Incl. Materiales y mano de obra)</t>
  </si>
  <si>
    <t>Pañete maestreado en interior (Incl. Materiales y mano de obra)</t>
  </si>
  <si>
    <t>Fraguache en elementos de hormigón (Incl. Materiales y mano de obra)</t>
  </si>
  <si>
    <t>Gotero colgante (Incl. Materiales y mano de obra)</t>
  </si>
  <si>
    <t>Cantos (Incl. Materiales y mano de obra)</t>
  </si>
  <si>
    <t>Mocheta (Incl. Materiales y mano de obra)</t>
  </si>
  <si>
    <t>4.-</t>
  </si>
  <si>
    <t>Estructura metálica</t>
  </si>
  <si>
    <t>Suministro e instalación de techo en estructura metálica como base de aluzinc (ver detalle en plano)</t>
  </si>
  <si>
    <t>Lb</t>
  </si>
  <si>
    <t>Suministro e instalación de aluzinc en techo entrada (ver especificaciones en plano)</t>
  </si>
  <si>
    <t>Pie</t>
  </si>
  <si>
    <t>Suministro de pernos de 3/4" para techo en aluzinc (ver especificaciones en plano)</t>
  </si>
  <si>
    <t>Und</t>
  </si>
  <si>
    <t>Escalera metálica hacia techo (ver especificaciones en planos)</t>
  </si>
  <si>
    <t>5.-</t>
  </si>
  <si>
    <t>Construcción ligera</t>
  </si>
  <si>
    <t>Suministro y colocación de muro en panel de yeso</t>
  </si>
  <si>
    <t>Suministro  y colocación  de plafond comercial mineral</t>
  </si>
  <si>
    <t>Suministro  y colocación  de fascia en panel de yeso</t>
  </si>
  <si>
    <t>Suministro y colocación de techo en panel de yeso</t>
  </si>
  <si>
    <t>Suministro  y colocación  de muro en panel de fibra de vidrio con núcleo de yeso</t>
  </si>
  <si>
    <t>Suministro y colocación de techo en panel de yeso perforado (ver detalle en plano)</t>
  </si>
  <si>
    <t>Suministro y colocación de techo en panel de fibra de vidrio con núcleo de yeso</t>
  </si>
  <si>
    <t>6.-</t>
  </si>
  <si>
    <t>Terminación de pisos, techos y revestimiento generales</t>
  </si>
  <si>
    <t>Suministro y colocación piso 120 x 60 cm carrara español</t>
  </si>
  <si>
    <t>Suministro y colocación piso 60 x 60 cm super white</t>
  </si>
  <si>
    <t>Suministro y colocación zócalos en porcelanato super white (ver detalle en plano)</t>
  </si>
  <si>
    <t>Suministro y colocación piso 60 x 60 cm gris oscuro</t>
  </si>
  <si>
    <t>Suministro y colocación revestimiento de cerámica gris claro 30x60 cm</t>
  </si>
  <si>
    <t>Suministro y colocación de revestimiento en plywood hidrófugo con laminado color drift</t>
  </si>
  <si>
    <t>Suministro y colocación de revestimiento en MDF Olmo Alpino Sintética</t>
  </si>
  <si>
    <t>Suministro y colocación de revestimiento en MDF Gris grafito, aluminio</t>
  </si>
  <si>
    <t>Suministro y colocación de papel tapiz (ver especificaciones en planos)</t>
  </si>
  <si>
    <t>Suministro y colocación de escalera de granito in situ, color cosmic grey (ver especificaciones en planos)</t>
  </si>
  <si>
    <t>Suministro y colocación de granito negro San Gabriel en escalera de entrada (ver detalle en plano)</t>
  </si>
  <si>
    <t>7.-</t>
  </si>
  <si>
    <t>Pintura</t>
  </si>
  <si>
    <t>Suministro  y colocación pintura de base (prymer)</t>
  </si>
  <si>
    <t>Resane con masilla para pintura en muro de bloque existente (Incl. Materiales y mano de obra)</t>
  </si>
  <si>
    <t>Suministro  y colocación de revetex en exterior</t>
  </si>
  <si>
    <t>Suministro  y colocación de pintura, pantone P179-1C (Acrílico)</t>
  </si>
  <si>
    <t>Suministro  y colocación de pintura, pantone P179-1C (Semi Gloss)</t>
  </si>
  <si>
    <t>Suministro  y colocación de pintura, pantone Cool Grey 9C</t>
  </si>
  <si>
    <t>Suministro  y colocación de pintura, pantone Dark navy 19-4013TPG (Acrílico mate)</t>
  </si>
  <si>
    <t>Suministro  y colocación de pintura, pantone TopShoe 194004TCX  (Acrílico negro mate)</t>
  </si>
  <si>
    <t>Suministro  y colocación de pintura, pantone P7545CP (Acrílico mate)</t>
  </si>
  <si>
    <t>Suministro  y colocación de pintura, pantone Snowbound 11-0602TPG (Acrílico mate)</t>
  </si>
  <si>
    <t>Suministro  y colocación de pintura, pantone Star white 11-0602TPG (Acrílico mate)</t>
  </si>
  <si>
    <t>Suministro  y colocación de pintura, pantone Cool Grey 10P (Acrílico mate)</t>
  </si>
  <si>
    <t>Suministro y colocación de pintura color ladrillo,  pantone Hushed Auburn (Acrílico mate)</t>
  </si>
  <si>
    <t>8.-</t>
  </si>
  <si>
    <t>Puertas y Divisones en Cristal y Aluminio</t>
  </si>
  <si>
    <t>Suministro  y colocación de división en cristal y perfilería P40</t>
  </si>
  <si>
    <t>Pie²</t>
  </si>
  <si>
    <t>Suministro  y colocación de división en cristal flotante</t>
  </si>
  <si>
    <t>Suministro  y colocación de puerta en cristal comercial con puño de barra de 1 1/2"</t>
  </si>
  <si>
    <t>Suministro y colocación de puerta en marupá hidrófugo 1/4"</t>
  </si>
  <si>
    <t>Suminstro y colocación de puerta de perfilería negra con barras de 1 1/2"</t>
  </si>
  <si>
    <t>Suminstro y colocación de puerta con puño de barra 1 1/2"</t>
  </si>
  <si>
    <t>Suminstro y colocación de puerta con doble puño de barra 1 1/2"</t>
  </si>
  <si>
    <t>h-</t>
  </si>
  <si>
    <t>Suminstro y colocación de puerta en cristal flotante</t>
  </si>
  <si>
    <t>Suministro y colocación de puerta en louvers metálico (ver detalle en plano)</t>
  </si>
  <si>
    <t>Suministro y colocación de ventana corrediza en cristal comercial con perfilería negra</t>
  </si>
  <si>
    <t>Suministro y colocación de ventana fija en cristal comercial con perfilería negra</t>
  </si>
  <si>
    <t>Suministro y colocación de ventana V3 (ver detalle en plano)</t>
  </si>
  <si>
    <t>Suministro y colocación de brazo hidráulico para puerta</t>
  </si>
  <si>
    <t>Suministro y colocación de pata de chivo para puerta</t>
  </si>
  <si>
    <t>Suministro y colocación de tope de piso para puerta de cristal</t>
  </si>
  <si>
    <t>Suministro y colocación de frost en cristales (ver detalle en planos)</t>
  </si>
  <si>
    <t>Suministro y colocación de pasamanos en cristal y acero inoxidable para escalera (ver especificaciones en planos)</t>
  </si>
  <si>
    <t>Suministro y colocación de laminado para reducción de calor (ver detalle en plano)</t>
  </si>
  <si>
    <t>9.-</t>
  </si>
  <si>
    <t>Instalaciones Sanitarias</t>
  </si>
  <si>
    <t>Suministro y colocación de inodoros (ver especificaciones planos)</t>
  </si>
  <si>
    <t>Suministro y colocación de lavamanos con mueble (ver especificaciones planos)</t>
  </si>
  <si>
    <t>Suministro y colocación de fregadero (ver especificaciones planos)</t>
  </si>
  <si>
    <t>Suministro y colocación de espejos en baños (ver especificaciones en planos)</t>
  </si>
  <si>
    <t>Suministro y colocación de cámara séptica 4.75x2.4x3.87 m (ver especificaciones en planos)</t>
  </si>
  <si>
    <t>Suministro y colocación de cámara de inspección 0.80x0.80x0.60 m (ver especificaciones en planos)</t>
  </si>
  <si>
    <t>Trampa de grasa (Incl. Materiales y manos de obra) (ver especificaciones en planos)</t>
  </si>
  <si>
    <t>Suministro y colocación de tope de granito blanco cristal y base en madera para lavamanos</t>
  </si>
  <si>
    <t>Suministro y colocación de refuerzo para lavamanos con angulares 3 x 3 x 1/4"</t>
  </si>
  <si>
    <t>Suminsitro y colocación de tubería de agua potable de 1/2"</t>
  </si>
  <si>
    <t>Suminsitro y colocación de columna de agua fría de 1/2"</t>
  </si>
  <si>
    <t>Suminsitro y colocación de desague pluvial de 4"</t>
  </si>
  <si>
    <t>Suminsitro y colocación de ventilación de 2"</t>
  </si>
  <si>
    <t>Suministro y colocación de tubería de 2" para aguas negras</t>
  </si>
  <si>
    <t>Suministro y colocación de tubería de 3" para aguas negras</t>
  </si>
  <si>
    <t>Suministro y colocación de tubería de 4" para aguas negras</t>
  </si>
  <si>
    <t>Filtrante (Incl. Tubos y mano de obra) (Ver detalles en planos)</t>
  </si>
  <si>
    <t>Suministro y colocación de Bomba 7.5 hp, 3F, 230/480v</t>
  </si>
  <si>
    <t>Suministro y colocación de Tanque pre cargado de 85 galones</t>
  </si>
  <si>
    <t>Suministro y colocación de Panel de control duplex 7.5hp, 230V</t>
  </si>
  <si>
    <t>Suministro y colocación de Switch de presión D 40-60 PSI</t>
  </si>
  <si>
    <t>Suministro y colocación de Flota eléctrica 1NC/1NO</t>
  </si>
  <si>
    <t xml:space="preserve">Suministro y colocación de Pesa para flota de nivel </t>
  </si>
  <si>
    <t>u.-</t>
  </si>
  <si>
    <t>Suministro y colocación de Manómetro 0-100PSI, 2.5" dial1/4"</t>
  </si>
  <si>
    <t>10.-</t>
  </si>
  <si>
    <t>Instalación Eléctrica</t>
  </si>
  <si>
    <t>Suministro y colocación de salida cenital aterrizado</t>
  </si>
  <si>
    <t>Suministro y colocación de lámpara LED 2x2, 48W, 6500K</t>
  </si>
  <si>
    <t>Suministro y colocación de lámpara LED 18 watts 6000K</t>
  </si>
  <si>
    <t>Suministro e instalación lámpara Kardan de 2 focos (ver detalle en plano)</t>
  </si>
  <si>
    <t>Suministro e instalación de lámpara empotrable dirigible 5.5W, 5000K</t>
  </si>
  <si>
    <t>Suministro e instalación de perfil LED colgante 2.40 x 0.08, 6000K</t>
  </si>
  <si>
    <t>Suministro e instalación de manguera LED 3000K</t>
  </si>
  <si>
    <t>Suministro y colocación de salida interruptor sencillo aterrizado</t>
  </si>
  <si>
    <t>Suministro y colocación de salida interruptor doble aterrizado</t>
  </si>
  <si>
    <t>Suministro y colocación de salida interruptor triple aterrizado</t>
  </si>
  <si>
    <t xml:space="preserve">Suministro e instalación de interruptor 3 way </t>
  </si>
  <si>
    <t>Suministro y colocación de salida tomacorriente doble</t>
  </si>
  <si>
    <t>m.</t>
  </si>
  <si>
    <t>Suministro y colocación de salida de Data</t>
  </si>
  <si>
    <t>Suministro y colocación de cable UTP CAT 6</t>
  </si>
  <si>
    <t>Cajas</t>
  </si>
  <si>
    <t>Suministro y colocación de salida HDMI</t>
  </si>
  <si>
    <t>Suministro y colocación de panel distribuidor de 12-24 circ</t>
  </si>
  <si>
    <t>Suministro y colocación de patch panel 24 CAT 6</t>
  </si>
  <si>
    <t>Suministro y colocación de patch cord 3'</t>
  </si>
  <si>
    <t>Suministro y colocación de patch cord 10'</t>
  </si>
  <si>
    <t>Suministro y colocación de extractor 371 CFM, KDK 38CDG para plafond en baño</t>
  </si>
  <si>
    <t>Suministro y colocación de extractor 371 CFM, KDK 38CDG para plafond en cocina</t>
  </si>
  <si>
    <t>Suministro y colocación de alimentador A0 trifásico desde punto de interconexión hasta transformador (ver especificaciones en planos)</t>
  </si>
  <si>
    <t>v.-</t>
  </si>
  <si>
    <t>Suministro de transformador tipo pad-mounted trifásico de 150 KVA. 7200/12470y/120-208y</t>
  </si>
  <si>
    <t>w.-</t>
  </si>
  <si>
    <t>Suministro y colocación de transfer (ver especificaciones)</t>
  </si>
  <si>
    <t>x.-</t>
  </si>
  <si>
    <t xml:space="preserve">Suministro y colocación de generador de 150 KW </t>
  </si>
  <si>
    <t>y.-</t>
  </si>
  <si>
    <t>Suministro y colocación de pararayo para edificación de 4 niveles (71 mts)</t>
  </si>
  <si>
    <t>z.-</t>
  </si>
  <si>
    <t>Suminsitro y colocación registro eléctrico 8x8x10</t>
  </si>
  <si>
    <t>a1.-</t>
  </si>
  <si>
    <t>Suministro y colocación de Panelboard, barras 500A, 3F, 4H, 120/208V, 60HZ, en gabinete metálico Nema 1</t>
  </si>
  <si>
    <t>b1.-</t>
  </si>
  <si>
    <t>Suministro y colocación de canalización de ductos de alimentadores (ver detalle en plano)</t>
  </si>
  <si>
    <t>c1.-</t>
  </si>
  <si>
    <t>Suministro y colocación de Bomba de drenaje para aires (ver detalle en plano)</t>
  </si>
  <si>
    <t>d1.-</t>
  </si>
  <si>
    <t>Suministro y colocación de canalización principal por unidad de luminaria</t>
  </si>
  <si>
    <t>e1.-</t>
  </si>
  <si>
    <t>Suministro y colocación de canalización principal por unidad de tomacorriente</t>
  </si>
  <si>
    <t>f1.-</t>
  </si>
  <si>
    <t>Suministro y colocación de canalización principal por unidad de salida de data</t>
  </si>
  <si>
    <t>11.-</t>
  </si>
  <si>
    <t xml:space="preserve">Sistema de Climatización  </t>
  </si>
  <si>
    <t>Suministro y colocación de equipos para climatización (ver detalles en plano)</t>
  </si>
  <si>
    <t>Suministro y colocación de ductos en P3 para climatización (ver detalles en plano)</t>
  </si>
  <si>
    <t>12.-</t>
  </si>
  <si>
    <t>Cocina</t>
  </si>
  <si>
    <t>Suministro y colocación módulo de pared 15" x 30" x 14 3/8" con puerta</t>
  </si>
  <si>
    <t>Suministro y colocación módulo de pared 18" x 30" x 14 3/8" con puerta</t>
  </si>
  <si>
    <t>Suministro y colocación módulo de pared 18" x 30" x 14 3/8" con puertas</t>
  </si>
  <si>
    <t>Suministro y colocación módulo de pared 24" x 30" x 14 3/8" con puertas</t>
  </si>
  <si>
    <t>Suministro y colocación módulo de pared 30" x 14 3/8" x 30" con puertas</t>
  </si>
  <si>
    <t>Suministro y colocación módulo de pared 30" x 15" x 14 3/8" con puertas</t>
  </si>
  <si>
    <t>Suministro y colocación módulo de piso 12" x 30" x 14 3/8" con puerta</t>
  </si>
  <si>
    <t>Suministro y colocación módulo de piso 15" x 30" x 14 3/8" con puerta</t>
  </si>
  <si>
    <t>Suministro y colocación módulo de piso 18" x 30" x 14 3/8" con gavetas</t>
  </si>
  <si>
    <t>Suministro y colocación módulo de piso 24" x 30" x 24" con gavetas</t>
  </si>
  <si>
    <t>Suministro y colocación módulo de piso 18" x 30" x 14 3/8" con puerta</t>
  </si>
  <si>
    <t>Suministro y colocación módulo de piso 18" x 30" x 14 3/8" con puertas</t>
  </si>
  <si>
    <t>Suministro y colocación módulo de piso 30" x 14 3/8" x 30" con puertas</t>
  </si>
  <si>
    <t>Suministro y colocación riel de montaje 84"</t>
  </si>
  <si>
    <t>Suministro y colocación patas de módulos de piso</t>
  </si>
  <si>
    <t>Suministro y colocación amortiguadores para puertas de módulos</t>
  </si>
  <si>
    <t>Suministro y colocación de tope de granito blanco cristal pulido y base de madera (Ver especificaciones en planos)</t>
  </si>
  <si>
    <t>Suministro y colocación pata ajustable para tope en cocina</t>
  </si>
  <si>
    <t>13.-</t>
  </si>
  <si>
    <t>Misceláneos</t>
  </si>
  <si>
    <t>Suminsitro y colocación de grama (incluye tierra negra)</t>
  </si>
  <si>
    <t>Sumnistro y colocación de arbustos (ver detalle en planos)</t>
  </si>
  <si>
    <t xml:space="preserve">Alquiler de andamios </t>
  </si>
  <si>
    <t>Sistema de seguridad para trabajadores (Incl. Guindola, chalecos, casco y arnes)</t>
  </si>
  <si>
    <t>Alquiler de grua para instalación de generador eléctrico</t>
  </si>
  <si>
    <t>Día</t>
  </si>
  <si>
    <t>Suministro y colocación de sistema de seguridad CCTV (ver detalle en plano)</t>
  </si>
  <si>
    <t>Suministro y colocación de letrero en exterior Centro De Servicio Técnico en acrílico con ilumincación (ver detalle en plano)</t>
  </si>
  <si>
    <t>Suministro y colocación de logo MOPC en exterior en acrílico, sin iluminación</t>
  </si>
  <si>
    <t>Suministro y colocación de logo MOPC en interior en acrílico (ver detalle en plano)</t>
  </si>
  <si>
    <t>Suministro y colocación de letreros en plancha de alucobond y letras en vinil en interior (ver detalle en plano)</t>
  </si>
  <si>
    <t>SUB-TOTAL GASTOS DIRECTOS CENTRO DE SERVICIOS</t>
  </si>
  <si>
    <t>II.-</t>
  </si>
  <si>
    <t>Áreas a remodelar</t>
  </si>
  <si>
    <t>Preliminares generales</t>
  </si>
  <si>
    <t>Demolición de muros de blocks 6"</t>
  </si>
  <si>
    <t>Demolición de muro de panel de yeso</t>
  </si>
  <si>
    <t>Desmonte de cristal</t>
  </si>
  <si>
    <t xml:space="preserve">Desmonte de perfilería P40 </t>
  </si>
  <si>
    <t>Desmonte de plafones</t>
  </si>
  <si>
    <t>Demolición de techos en panel de yeso (Incl. Fascias)</t>
  </si>
  <si>
    <t>Desmonte de puertas en cristal y perfilería P40</t>
  </si>
  <si>
    <t>Reinstalación de puertas en cristal y perfilería P40</t>
  </si>
  <si>
    <t>Sistema de climatización</t>
  </si>
  <si>
    <t xml:space="preserve">Mantenimiento de equipos de climatización existentes </t>
  </si>
  <si>
    <t>Movilización o traslado de equipos de climatización existentes</t>
  </si>
  <si>
    <t>Confección e instalación de ductos para sistema de climatización en todas las áreas</t>
  </si>
  <si>
    <t>Terminación de pisos</t>
  </si>
  <si>
    <t>Suministro y colocación de piso 60 x 60 cm super white (reposición de piso afectado por remodelación)</t>
  </si>
  <si>
    <t>SUB-TOTAL GASTOS DIRECTOS REMODELACIONES GENERALES</t>
  </si>
  <si>
    <t>B.-</t>
  </si>
  <si>
    <t>Departamento de Inspección</t>
  </si>
  <si>
    <t>Suministro y colocación de muro de bloques 6"</t>
  </si>
  <si>
    <t>Pañete en muros interiores (Incl. Materiales y mano de obra)</t>
  </si>
  <si>
    <t>Resane para muro de blocks (Incl. Materiales y mano de obra)</t>
  </si>
  <si>
    <r>
      <t>Construcción Ligera</t>
    </r>
    <r>
      <rPr>
        <sz val="14"/>
        <color theme="1"/>
        <rFont val="Times New Roman"/>
        <family val="1"/>
      </rPr>
      <t xml:space="preserve"> </t>
    </r>
  </si>
  <si>
    <t>Resane con masilla para pintura (Incl. Materiales y mano de obra)</t>
  </si>
  <si>
    <t>Suministro  y colocación de pintura de base (prymer)</t>
  </si>
  <si>
    <t xml:space="preserve">Suministro  y colocación de puerta en cristal y perfilería P40 con manubrio </t>
  </si>
  <si>
    <t xml:space="preserve">Suministro y colocación de frost en cristales </t>
  </si>
  <si>
    <t>Suministro y colocación de salida cenital aterrizada</t>
  </si>
  <si>
    <t>Suministro y colocación de lámpara LED 18 watts,6000K</t>
  </si>
  <si>
    <t>Suministro y colocación de tomacorrientes doble aterrizado</t>
  </si>
  <si>
    <t>Suminsitro y colocación de salida de data</t>
  </si>
  <si>
    <t>SUB-TOTAL GASTOS DIRECTOS DEPARTAMENTO DE INSPECCIÓN</t>
  </si>
  <si>
    <t>Departamento de Transparencia</t>
  </si>
  <si>
    <t xml:space="preserve">Suministro  y colocación de división en cristal y perfilería P40 </t>
  </si>
  <si>
    <t>Suministro  y colocación de puerta en cristal y perfilería P40</t>
  </si>
  <si>
    <t>Suministro y colocación de lámpara LED 18 watts, 6000K</t>
  </si>
  <si>
    <t>SUB-TOTAL GASTOS DIRECTOS DEPARTAMENTO DE TRANSPARENCIA</t>
  </si>
  <si>
    <t>C.-</t>
  </si>
  <si>
    <t>Departamento de Planificación y Desarrollo</t>
  </si>
  <si>
    <t>Resane en muro de blocks (Incl. Materiales y mano de obra)</t>
  </si>
  <si>
    <t xml:space="preserve">Suministro  y colocación de puerta en cristal y perfilería P40 </t>
  </si>
  <si>
    <t>Suministro y colocación de lámpara LED cuadrada 12 watts, 6000K</t>
  </si>
  <si>
    <t xml:space="preserve">Suministro y colocación de salida interruptor doble aterrizado </t>
  </si>
  <si>
    <t>Suminsitro y colocación de salida de data aterrizado</t>
  </si>
  <si>
    <t>SUB-TOTAL GASTOS DIRECTOS DEPARTAMENTO DE PLANIFICACIÓN Y DESARROLLO</t>
  </si>
  <si>
    <t>D.-</t>
  </si>
  <si>
    <t>Departamento de Coordinación de servicios</t>
  </si>
  <si>
    <t>Resane con masilla para pintura (Incl. Materiales de mano de obra)</t>
  </si>
  <si>
    <t>Suministro y colocación de brazo hidráulico</t>
  </si>
  <si>
    <t>Suministro y colocación de salida tomacorriente aterrizado</t>
  </si>
  <si>
    <t>Suministro  y colocación de fregaderos (ver especificaciones en planos)</t>
  </si>
  <si>
    <t>Suministro y colocación de módulo de pared 12" x 30" x 14 3/8" con puerta</t>
  </si>
  <si>
    <t>Ud</t>
  </si>
  <si>
    <t>Suministro y colocación de módulo de pared 18" x 30" x 14 3/8" con puertas</t>
  </si>
  <si>
    <t>Suministro y colocación de módulo de pared 30" x 30" x 14 3/8" con puertas  (Incl. Panel Lateral)</t>
  </si>
  <si>
    <t>Suministro y colocación de módulo de Piso 12" x 30" x 24" con puertas</t>
  </si>
  <si>
    <t>Suministro y colocación de módulo de Piso 18" x 30" x 24" con puertas</t>
  </si>
  <si>
    <t>Suministro y colocación de módulo de Piso 18" x 30" x 24" con gavetas (Incl. Panel lateral)</t>
  </si>
  <si>
    <t>Suministro y colocaión de riel de montaje 84"</t>
  </si>
  <si>
    <t>Suministro y colocación de patas de módulos de piso</t>
  </si>
  <si>
    <t>Suminsitro y colocación de amortiguadores para puertas de módulos</t>
  </si>
  <si>
    <t>Suministro y colocación de pata ajustable para tope de cocina</t>
  </si>
  <si>
    <t xml:space="preserve">SUB-TOTAL GASTOS DIRECTOS DEPARTAMENTO DE COORDINACIÓN DE SERVICIOS  </t>
  </si>
  <si>
    <t>F.-</t>
  </si>
  <si>
    <t>LIMPIEZA CONTINUA  Y  FINAL</t>
  </si>
  <si>
    <t>a-</t>
  </si>
  <si>
    <t>Limpieza continua y  final</t>
  </si>
  <si>
    <t>P.A.</t>
  </si>
  <si>
    <t>SUB TOTAL  LIMPIEZA FINAL</t>
  </si>
  <si>
    <t>SUB-TOTAL GENERAL</t>
  </si>
  <si>
    <t>GASTOS  INDIRECTOS</t>
  </si>
  <si>
    <t>DIRECCIÓN  TÉCNICA</t>
  </si>
  <si>
    <t>INSPECCIÓN  Y SUPERVISIÓN  DE  OBRAS</t>
  </si>
  <si>
    <t xml:space="preserve">SEGUROS Y FIANZAS </t>
  </si>
  <si>
    <t>GASTOS ADMINISTRATIVOS</t>
  </si>
  <si>
    <t xml:space="preserve">TRANSPORTE </t>
  </si>
  <si>
    <t>LEY -686</t>
  </si>
  <si>
    <t xml:space="preserve">CODIA </t>
  </si>
  <si>
    <t>ITBIS ( 18% )</t>
  </si>
  <si>
    <t>SUB-TOTAL GASTOS  INDIRECTOS</t>
  </si>
  <si>
    <t xml:space="preserve">TOTAL GENERAL </t>
  </si>
  <si>
    <t>NOTAS</t>
  </si>
  <si>
    <t>a)</t>
  </si>
  <si>
    <t>Los volúmenes de este presupuesto serán pagados de acuerdo a levantamiento en obra y a las cubicaciones realizadas por la Supervisión y aprobada  por  MOPC.</t>
  </si>
  <si>
    <t>b)</t>
  </si>
  <si>
    <t>Los precios alzados (P.A.)  y todos los precios serán pagados en las cubicaciones mediante desglose de partidas previa autorización del MOPC .</t>
  </si>
  <si>
    <t>c)</t>
  </si>
  <si>
    <t xml:space="preserve"> La partida de Inspección y  Supervisión de Obras  pertenece al   MOPC.</t>
  </si>
  <si>
    <t xml:space="preserve">               PREPARADO POR:                                                                                          REVISADO POR:</t>
  </si>
  <si>
    <t xml:space="preserve">     SHARLYN TAVÁREZ                                                                              STEPHANY SÁNCHEZ PERALTA</t>
  </si>
  <si>
    <t xml:space="preserve">   Ing. Presupuestos de Diseño                                                                               Ing. Presupuestos de Diseño</t>
  </si>
  <si>
    <t xml:space="preserve">  y Construcción de Planta Física                                                                         y Construcción de Planta Física</t>
  </si>
  <si>
    <t xml:space="preserve">                                                                              SOMETIDO POR:</t>
  </si>
  <si>
    <t xml:space="preserve">                                                                          ARQ. GARY HERRERA</t>
  </si>
  <si>
    <t xml:space="preserve">                                         Encargado del Departamento de Diseño y Construcción de Planta Física</t>
  </si>
  <si>
    <t>Santo Domingo, D. N.</t>
  </si>
  <si>
    <t>8 de noviembre,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</si>
</sst>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 &quot;* #,##0.00&quot; &quot;;&quot;-&quot;* #,##0.00&quot; &quot;;&quot; &quot;* &quot;-&quot;??&quot; &quot;"/>
    <numFmt numFmtId="165" formatCode="[$$-409]#,##0.00"/>
    <numFmt numFmtId="166" formatCode="#,##0.00&quot; &quot;;&quot;-&quot;#,##0.00&quot; &quot;"/>
  </numFmts>
  <fonts count="7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sz val="14"/>
      <color theme="1"/>
      <name val="Calibri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Protection="0"/>
  </cellStyleXfs>
  <cellXfs count="84">
    <xf numFmtId="0" fontId="0" fillId="0" borderId="0" xfId="0"/>
    <xf numFmtId="0" fontId="0" fillId="0" borderId="0" xfId="0" applyNumberFormat="1" applyFont="1" applyAlignment="1"/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right" vertical="center"/>
    </xf>
    <xf numFmtId="49" fontId="2" fillId="0" borderId="0" xfId="2" applyNumberFormat="1" applyFont="1" applyFill="1" applyBorder="1" applyAlignment="1"/>
    <xf numFmtId="43" fontId="3" fillId="0" borderId="0" xfId="1" applyFont="1" applyFill="1" applyBorder="1" applyAlignment="1"/>
    <xf numFmtId="4" fontId="3" fillId="0" borderId="0" xfId="2" applyNumberFormat="1" applyFont="1" applyFill="1" applyBorder="1" applyAlignment="1"/>
    <xf numFmtId="49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wrapText="1"/>
    </xf>
    <xf numFmtId="49" fontId="3" fillId="0" borderId="0" xfId="2" applyNumberFormat="1" applyFont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vertical="top" wrapText="1"/>
    </xf>
    <xf numFmtId="12" fontId="3" fillId="0" borderId="0" xfId="1" applyNumberFormat="1" applyFont="1" applyFill="1" applyBorder="1" applyAlignment="1"/>
    <xf numFmtId="49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/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/>
    <xf numFmtId="49" fontId="3" fillId="0" borderId="0" xfId="2" applyNumberFormat="1" applyFont="1" applyFill="1" applyBorder="1" applyAlignment="1"/>
    <xf numFmtId="49" fontId="3" fillId="0" borderId="0" xfId="2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49" fontId="3" fillId="0" borderId="0" xfId="3" applyNumberFormat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top"/>
    </xf>
    <xf numFmtId="43" fontId="3" fillId="0" borderId="0" xfId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 wrapText="1"/>
    </xf>
    <xf numFmtId="4" fontId="2" fillId="0" borderId="0" xfId="0" applyNumberFormat="1" applyFont="1" applyFill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166" fontId="3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top"/>
    </xf>
    <xf numFmtId="166" fontId="3" fillId="0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/>
    <xf numFmtId="0" fontId="0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/>
    <xf numFmtId="0" fontId="0" fillId="0" borderId="0" xfId="0" applyNumberFormat="1" applyFont="1" applyAlignment="1">
      <alignment horizontal="right" vertical="center"/>
    </xf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430589</xdr:colOff>
      <xdr:row>0</xdr:row>
      <xdr:rowOff>138550</xdr:rowOff>
    </xdr:from>
    <xdr:to>
      <xdr:col>3</xdr:col>
      <xdr:colOff>537882</xdr:colOff>
      <xdr:row>2</xdr:row>
      <xdr:rowOff>33901</xdr:rowOff>
    </xdr:to>
    <xdr:pic>
      <xdr:nvPicPr>
        <xdr:cNvPr id="2" name="Imagen 1" descr="Imagen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7726739" y="138550"/>
          <a:ext cx="1069318" cy="333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2412109</xdr:colOff>
      <xdr:row>449</xdr:row>
      <xdr:rowOff>627528</xdr:rowOff>
    </xdr:from>
    <xdr:to>
      <xdr:col>1</xdr:col>
      <xdr:colOff>5255561</xdr:colOff>
      <xdr:row>449</xdr:row>
      <xdr:rowOff>629208</xdr:rowOff>
    </xdr:to>
    <xdr:sp macro="" textlink="">
      <xdr:nvSpPr>
        <xdr:cNvPr id="3" name="Shape 4"/>
        <xdr:cNvSpPr/>
      </xdr:nvSpPr>
      <xdr:spPr>
        <a:xfrm flipV="1">
          <a:off x="2774059" y="105231078"/>
          <a:ext cx="2843452" cy="1680"/>
        </a:xfrm>
        <a:prstGeom prst="line">
          <a:avLst/>
        </a:prstGeom>
        <a:noFill/>
        <a:ln w="12700" cap="flat">
          <a:solidFill>
            <a:schemeClr val="tx1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0</xdr:col>
      <xdr:colOff>145676</xdr:colOff>
      <xdr:row>441</xdr:row>
      <xdr:rowOff>425823</xdr:rowOff>
    </xdr:from>
    <xdr:to>
      <xdr:col>1</xdr:col>
      <xdr:colOff>2630540</xdr:colOff>
      <xdr:row>441</xdr:row>
      <xdr:rowOff>427503</xdr:rowOff>
    </xdr:to>
    <xdr:sp macro="" textlink="">
      <xdr:nvSpPr>
        <xdr:cNvPr id="4" name="Shape 4"/>
        <xdr:cNvSpPr/>
      </xdr:nvSpPr>
      <xdr:spPr>
        <a:xfrm flipV="1">
          <a:off x="145676" y="103238673"/>
          <a:ext cx="2846814" cy="1680"/>
        </a:xfrm>
        <a:prstGeom prst="line">
          <a:avLst/>
        </a:prstGeom>
        <a:noFill/>
        <a:ln w="12700" cap="flat">
          <a:solidFill>
            <a:schemeClr val="tx1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</xdr:col>
      <xdr:colOff>5165912</xdr:colOff>
      <xdr:row>441</xdr:row>
      <xdr:rowOff>403411</xdr:rowOff>
    </xdr:from>
    <xdr:to>
      <xdr:col>3</xdr:col>
      <xdr:colOff>109217</xdr:colOff>
      <xdr:row>441</xdr:row>
      <xdr:rowOff>405091</xdr:rowOff>
    </xdr:to>
    <xdr:sp macro="" textlink="">
      <xdr:nvSpPr>
        <xdr:cNvPr id="5" name="Shape 4"/>
        <xdr:cNvSpPr/>
      </xdr:nvSpPr>
      <xdr:spPr>
        <a:xfrm flipV="1">
          <a:off x="5527862" y="103216261"/>
          <a:ext cx="2839530" cy="1680"/>
        </a:xfrm>
        <a:prstGeom prst="line">
          <a:avLst/>
        </a:prstGeom>
        <a:noFill/>
        <a:ln w="12700" cap="flat">
          <a:solidFill>
            <a:schemeClr val="tx1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458"/>
  <sheetViews>
    <sheetView showGridLines="0" tabSelected="1" view="pageBreakPreview" topLeftCell="A385" zoomScale="85" zoomScaleNormal="100" zoomScaleSheetLayoutView="85" workbookViewId="0">
      <selection activeCell="F398" sqref="F398"/>
    </sheetView>
  </sheetViews>
  <sheetFormatPr baseColWidth="10" defaultColWidth="10.85546875" defaultRowHeight="12.75" customHeight="1" x14ac:dyDescent="0.25"/>
  <cols>
    <col min="1" max="1" width="5.42578125" style="66" customWidth="1"/>
    <col min="2" max="2" width="104" style="1" customWidth="1"/>
    <col min="3" max="3" width="14.42578125" style="1" customWidth="1"/>
    <col min="4" max="4" width="14.5703125" style="1" customWidth="1"/>
    <col min="5" max="235" width="10.85546875" style="1" customWidth="1"/>
    <col min="236" max="16384" width="10.85546875" style="67"/>
  </cols>
  <sheetData>
    <row r="1" spans="1:4" ht="18.75" customHeight="1" x14ac:dyDescent="0.25">
      <c r="A1" s="82" t="s">
        <v>0</v>
      </c>
      <c r="B1" s="82"/>
      <c r="C1" s="82"/>
      <c r="D1" s="82"/>
    </row>
    <row r="2" spans="1:4" ht="15.75" customHeight="1" x14ac:dyDescent="0.25">
      <c r="A2" s="82" t="s">
        <v>1</v>
      </c>
      <c r="B2" s="82"/>
      <c r="C2" s="82"/>
      <c r="D2" s="82"/>
    </row>
    <row r="3" spans="1:4" ht="17.25" customHeight="1" x14ac:dyDescent="0.25">
      <c r="A3" s="82" t="s">
        <v>2</v>
      </c>
      <c r="B3" s="82"/>
      <c r="C3" s="82"/>
      <c r="D3" s="82"/>
    </row>
    <row r="4" spans="1:4" ht="12.75" customHeight="1" x14ac:dyDescent="0.3">
      <c r="A4" s="2"/>
      <c r="B4" s="83"/>
      <c r="C4" s="83"/>
      <c r="D4" s="83"/>
    </row>
    <row r="5" spans="1:4" ht="16.5" customHeight="1" x14ac:dyDescent="0.25">
      <c r="A5" s="69" t="s">
        <v>3</v>
      </c>
      <c r="B5" s="69"/>
      <c r="C5" s="69"/>
      <c r="D5" s="69"/>
    </row>
    <row r="6" spans="1:4" ht="15.75" customHeight="1" x14ac:dyDescent="0.25">
      <c r="A6" s="69" t="s">
        <v>4</v>
      </c>
      <c r="B6" s="69"/>
      <c r="C6" s="69"/>
      <c r="D6" s="69"/>
    </row>
    <row r="7" spans="1:4" ht="15.75" customHeight="1" x14ac:dyDescent="0.25">
      <c r="A7" s="69" t="s">
        <v>5</v>
      </c>
      <c r="B7" s="71"/>
      <c r="C7" s="71"/>
      <c r="D7" s="71"/>
    </row>
    <row r="8" spans="1:4" ht="17.25" customHeight="1" x14ac:dyDescent="0.25">
      <c r="A8" s="3"/>
      <c r="B8" s="4" t="s">
        <v>6</v>
      </c>
      <c r="C8" s="4"/>
      <c r="D8" s="4"/>
    </row>
    <row r="9" spans="1:4" ht="18.75" x14ac:dyDescent="0.25">
      <c r="A9" s="5" t="s">
        <v>7</v>
      </c>
      <c r="B9" s="6" t="s">
        <v>8</v>
      </c>
      <c r="C9" s="7" t="s">
        <v>9</v>
      </c>
      <c r="D9" s="7" t="s">
        <v>10</v>
      </c>
    </row>
    <row r="10" spans="1:4" ht="18.75" x14ac:dyDescent="0.25">
      <c r="A10" s="8"/>
      <c r="B10" s="9"/>
      <c r="C10" s="10"/>
      <c r="D10" s="10"/>
    </row>
    <row r="11" spans="1:4" ht="18.75" x14ac:dyDescent="0.3">
      <c r="A11" s="11" t="s">
        <v>11</v>
      </c>
      <c r="B11" s="12" t="s">
        <v>12</v>
      </c>
      <c r="C11" s="13"/>
      <c r="D11" s="14"/>
    </row>
    <row r="12" spans="1:4" ht="18.75" x14ac:dyDescent="0.3">
      <c r="A12" s="11" t="s">
        <v>13</v>
      </c>
      <c r="B12" s="12" t="s">
        <v>14</v>
      </c>
      <c r="C12" s="13"/>
      <c r="D12" s="14"/>
    </row>
    <row r="13" spans="1:4" ht="18.75" x14ac:dyDescent="0.3">
      <c r="A13" s="8" t="s">
        <v>15</v>
      </c>
      <c r="B13" s="15" t="s">
        <v>16</v>
      </c>
      <c r="C13" s="16"/>
      <c r="D13" s="17"/>
    </row>
    <row r="14" spans="1:4" ht="18.75" x14ac:dyDescent="0.3">
      <c r="A14" s="18" t="s">
        <v>17</v>
      </c>
      <c r="B14" s="19" t="s">
        <v>18</v>
      </c>
      <c r="C14" s="13">
        <f>27.12*1.05</f>
        <v>28.476000000000003</v>
      </c>
      <c r="D14" s="20" t="s">
        <v>19</v>
      </c>
    </row>
    <row r="15" spans="1:4" ht="18.75" x14ac:dyDescent="0.3">
      <c r="A15" s="18" t="s">
        <v>20</v>
      </c>
      <c r="B15" s="19" t="s">
        <v>21</v>
      </c>
      <c r="C15" s="13">
        <f>116.54*1.05</f>
        <v>122.36700000000002</v>
      </c>
      <c r="D15" s="20" t="s">
        <v>19</v>
      </c>
    </row>
    <row r="16" spans="1:4" ht="18.75" x14ac:dyDescent="0.3">
      <c r="A16" s="18" t="s">
        <v>22</v>
      </c>
      <c r="B16" s="19" t="s">
        <v>23</v>
      </c>
      <c r="C16" s="13">
        <f>76.09*1.05</f>
        <v>79.894500000000008</v>
      </c>
      <c r="D16" s="20" t="s">
        <v>19</v>
      </c>
    </row>
    <row r="17" spans="1:4" ht="18.75" x14ac:dyDescent="0.3">
      <c r="A17" s="18" t="s">
        <v>24</v>
      </c>
      <c r="B17" s="19" t="s">
        <v>25</v>
      </c>
      <c r="C17" s="13">
        <v>20</v>
      </c>
      <c r="D17" s="20" t="s">
        <v>26</v>
      </c>
    </row>
    <row r="18" spans="1:4" ht="18.75" x14ac:dyDescent="0.3">
      <c r="A18" s="18" t="s">
        <v>27</v>
      </c>
      <c r="B18" s="19" t="s">
        <v>28</v>
      </c>
      <c r="C18" s="13">
        <f>+(C14*1.25)</f>
        <v>35.595000000000006</v>
      </c>
      <c r="D18" s="20" t="s">
        <v>19</v>
      </c>
    </row>
    <row r="19" spans="1:4" ht="18.75" x14ac:dyDescent="0.3">
      <c r="A19" s="18"/>
      <c r="B19" s="19"/>
      <c r="C19" s="13"/>
      <c r="D19" s="20"/>
    </row>
    <row r="20" spans="1:4" ht="18.75" x14ac:dyDescent="0.3">
      <c r="A20" s="8" t="s">
        <v>29</v>
      </c>
      <c r="B20" s="15" t="s">
        <v>30</v>
      </c>
      <c r="C20" s="13"/>
      <c r="D20" s="20"/>
    </row>
    <row r="21" spans="1:4" ht="18.75" x14ac:dyDescent="0.3">
      <c r="A21" s="18" t="s">
        <v>17</v>
      </c>
      <c r="B21" s="19" t="s">
        <v>31</v>
      </c>
      <c r="C21" s="13">
        <f>+((2.5*2.5*0.5)*12)*1.05</f>
        <v>39.375</v>
      </c>
      <c r="D21" s="20" t="s">
        <v>19</v>
      </c>
    </row>
    <row r="22" spans="1:4" ht="18.75" x14ac:dyDescent="0.3">
      <c r="A22" s="18" t="s">
        <v>20</v>
      </c>
      <c r="B22" s="19" t="s">
        <v>32</v>
      </c>
      <c r="C22" s="13">
        <f>+((3.1*2.5*0.3)*2)*1.05</f>
        <v>4.8824999999999994</v>
      </c>
      <c r="D22" s="20" t="s">
        <v>19</v>
      </c>
    </row>
    <row r="23" spans="1:4" ht="18.75" x14ac:dyDescent="0.3">
      <c r="A23" s="18" t="s">
        <v>22</v>
      </c>
      <c r="B23" s="19" t="s">
        <v>33</v>
      </c>
      <c r="C23" s="13">
        <f>+(3.15*2.5*0.5)*1.15</f>
        <v>4.5281249999999993</v>
      </c>
      <c r="D23" s="20" t="s">
        <v>19</v>
      </c>
    </row>
    <row r="24" spans="1:4" ht="18.75" x14ac:dyDescent="0.3">
      <c r="A24" s="18" t="s">
        <v>24</v>
      </c>
      <c r="B24" s="19" t="s">
        <v>34</v>
      </c>
      <c r="C24" s="13">
        <f>+(3.75*2.5*0.3)*1.15</f>
        <v>3.2343749999999996</v>
      </c>
      <c r="D24" s="20" t="s">
        <v>19</v>
      </c>
    </row>
    <row r="25" spans="1:4" ht="18.75" x14ac:dyDescent="0.3">
      <c r="A25" s="18" t="s">
        <v>27</v>
      </c>
      <c r="B25" s="19" t="s">
        <v>35</v>
      </c>
      <c r="C25" s="13">
        <f>+(1.5*0.4*1.2)*1.15</f>
        <v>0.82800000000000007</v>
      </c>
      <c r="D25" s="20" t="s">
        <v>19</v>
      </c>
    </row>
    <row r="26" spans="1:4" ht="18.75" x14ac:dyDescent="0.3">
      <c r="A26" s="18" t="s">
        <v>36</v>
      </c>
      <c r="B26" s="19" t="s">
        <v>37</v>
      </c>
      <c r="C26" s="13">
        <f>+((0.3*0.5*38.65*2)+(0.3*0.5*5.38*5))*1.05</f>
        <v>16.4115</v>
      </c>
      <c r="D26" s="20" t="s">
        <v>19</v>
      </c>
    </row>
    <row r="27" spans="1:4" ht="18.75" x14ac:dyDescent="0.3">
      <c r="A27" s="18" t="s">
        <v>22</v>
      </c>
      <c r="B27" s="19" t="s">
        <v>38</v>
      </c>
      <c r="C27" s="13">
        <f>+((0.6*0.6*8.9)*1.15)*8</f>
        <v>29.476800000000001</v>
      </c>
      <c r="D27" s="20" t="s">
        <v>19</v>
      </c>
    </row>
    <row r="28" spans="1:4" ht="37.5" x14ac:dyDescent="0.25">
      <c r="A28" s="18" t="s">
        <v>24</v>
      </c>
      <c r="B28" s="21" t="s">
        <v>39</v>
      </c>
      <c r="C28" s="22">
        <f>+((2.65*0.4*5)+(0.7*0.3*5))*1.05</f>
        <v>6.6675000000000004</v>
      </c>
      <c r="D28" s="23" t="s">
        <v>19</v>
      </c>
    </row>
    <row r="29" spans="1:4" ht="37.5" x14ac:dyDescent="0.3">
      <c r="A29" s="18" t="s">
        <v>27</v>
      </c>
      <c r="B29" s="24" t="s">
        <v>40</v>
      </c>
      <c r="C29" s="22">
        <f>+(2.4*0.25)*15*1.15</f>
        <v>10.35</v>
      </c>
      <c r="D29" s="23" t="s">
        <v>19</v>
      </c>
    </row>
    <row r="30" spans="1:4" ht="18.75" x14ac:dyDescent="0.3">
      <c r="A30" s="18" t="s">
        <v>36</v>
      </c>
      <c r="B30" s="19" t="s">
        <v>41</v>
      </c>
      <c r="C30" s="22">
        <f>+((2.65*0.4*8)+(0.7*0.3*8))*1.05</f>
        <v>10.668000000000001</v>
      </c>
      <c r="D30" s="23" t="s">
        <v>19</v>
      </c>
    </row>
    <row r="31" spans="1:4" ht="18.75" x14ac:dyDescent="0.3">
      <c r="A31" s="18" t="s">
        <v>42</v>
      </c>
      <c r="B31" s="19" t="s">
        <v>43</v>
      </c>
      <c r="C31" s="22">
        <f>+(2.4*0.25*25)*1.05</f>
        <v>15.75</v>
      </c>
      <c r="D31" s="23" t="s">
        <v>19</v>
      </c>
    </row>
    <row r="32" spans="1:4" ht="18.75" x14ac:dyDescent="0.3">
      <c r="A32" s="18" t="s">
        <v>44</v>
      </c>
      <c r="B32" s="19" t="s">
        <v>45</v>
      </c>
      <c r="C32" s="22">
        <f>+(((0.3*5.5*0.6)*13)*3)*1.05</f>
        <v>40.540500000000002</v>
      </c>
      <c r="D32" s="23" t="s">
        <v>19</v>
      </c>
    </row>
    <row r="33" spans="1:4" ht="18.75" x14ac:dyDescent="0.3">
      <c r="A33" s="18" t="s">
        <v>46</v>
      </c>
      <c r="B33" s="19" t="s">
        <v>47</v>
      </c>
      <c r="C33" s="22">
        <f>+((1.65*0.12*5.5*7)+(0.9*0.3*5.5))*1.05</f>
        <v>9.5633999999999997</v>
      </c>
      <c r="D33" s="23" t="s">
        <v>19</v>
      </c>
    </row>
    <row r="34" spans="1:4" ht="18.75" x14ac:dyDescent="0.3">
      <c r="A34" s="18" t="s">
        <v>48</v>
      </c>
      <c r="B34" s="24" t="s">
        <v>49</v>
      </c>
      <c r="C34" s="13">
        <f>+(3.75*0.5)*1</f>
        <v>1.875</v>
      </c>
      <c r="D34" s="20" t="s">
        <v>19</v>
      </c>
    </row>
    <row r="35" spans="1:4" ht="18.75" x14ac:dyDescent="0.3">
      <c r="A35" s="18" t="s">
        <v>50</v>
      </c>
      <c r="B35" s="24" t="s">
        <v>51</v>
      </c>
      <c r="C35" s="13">
        <f>+(2.5*0.5)*14</f>
        <v>17.5</v>
      </c>
      <c r="D35" s="20" t="s">
        <v>19</v>
      </c>
    </row>
    <row r="36" spans="1:4" ht="37.5" x14ac:dyDescent="0.3">
      <c r="A36" s="18" t="s">
        <v>52</v>
      </c>
      <c r="B36" s="24" t="s">
        <v>53</v>
      </c>
      <c r="C36" s="13">
        <f>+(217.01*3)*0.15*1.05</f>
        <v>102.53722500000001</v>
      </c>
      <c r="D36" s="20" t="s">
        <v>19</v>
      </c>
    </row>
    <row r="37" spans="1:4" ht="37.5" x14ac:dyDescent="0.3">
      <c r="A37" s="18" t="s">
        <v>54</v>
      </c>
      <c r="B37" s="24" t="s">
        <v>55</v>
      </c>
      <c r="C37" s="13">
        <f>+((343.7-217.01)*0.2)*3*1.05</f>
        <v>79.814700000000016</v>
      </c>
      <c r="D37" s="20" t="s">
        <v>19</v>
      </c>
    </row>
    <row r="38" spans="1:4" ht="37.5" x14ac:dyDescent="0.3">
      <c r="A38" s="18" t="s">
        <v>56</v>
      </c>
      <c r="B38" s="24" t="s">
        <v>57</v>
      </c>
      <c r="C38" s="22">
        <f>+((((4.4*5)*0.2)*1.15)*2)+4</f>
        <v>14.12</v>
      </c>
      <c r="D38" s="23" t="s">
        <v>19</v>
      </c>
    </row>
    <row r="39" spans="1:4" ht="18.75" x14ac:dyDescent="0.3">
      <c r="A39" s="18" t="s">
        <v>58</v>
      </c>
      <c r="B39" s="19" t="s">
        <v>59</v>
      </c>
      <c r="C39" s="22">
        <f>+((0.25*0.5*(7.5+7.5))*1.15)*4</f>
        <v>8.625</v>
      </c>
      <c r="D39" s="23" t="s">
        <v>19</v>
      </c>
    </row>
    <row r="40" spans="1:4" ht="18.75" x14ac:dyDescent="0.3">
      <c r="A40" s="18" t="s">
        <v>60</v>
      </c>
      <c r="B40" s="19" t="s">
        <v>61</v>
      </c>
      <c r="C40" s="22">
        <f>+(((10.26+15+10.26+15)*3.28)*0.25)</f>
        <v>41.426399999999994</v>
      </c>
      <c r="D40" s="23" t="s">
        <v>19</v>
      </c>
    </row>
    <row r="41" spans="1:4" ht="18.75" x14ac:dyDescent="0.3">
      <c r="A41" s="18" t="s">
        <v>62</v>
      </c>
      <c r="B41" s="19" t="s">
        <v>63</v>
      </c>
      <c r="C41" s="22">
        <f>+((15+15+10.26+10.26)*0.35)*1.05</f>
        <v>18.566099999999999</v>
      </c>
      <c r="D41" s="23" t="s">
        <v>19</v>
      </c>
    </row>
    <row r="42" spans="1:4" ht="18.75" x14ac:dyDescent="0.3">
      <c r="A42" s="18" t="s">
        <v>64</v>
      </c>
      <c r="B42" s="19" t="s">
        <v>65</v>
      </c>
      <c r="C42" s="22">
        <f>+(15*10.26*0.12)*1.05</f>
        <v>19.391400000000001</v>
      </c>
      <c r="D42" s="23" t="s">
        <v>19</v>
      </c>
    </row>
    <row r="43" spans="1:4" ht="18.75" x14ac:dyDescent="0.3">
      <c r="A43" s="18" t="s">
        <v>66</v>
      </c>
      <c r="B43" s="19" t="s">
        <v>67</v>
      </c>
      <c r="C43" s="22">
        <f>+((0.3*0.3*3.8)*2)*1.15</f>
        <v>0.78659999999999985</v>
      </c>
      <c r="D43" s="23" t="s">
        <v>19</v>
      </c>
    </row>
    <row r="44" spans="1:4" ht="18.75" x14ac:dyDescent="0.3">
      <c r="A44" s="18" t="s">
        <v>68</v>
      </c>
      <c r="B44" s="19" t="s">
        <v>69</v>
      </c>
      <c r="C44" s="22">
        <f>+((41.48*13)+(41.48*4.5)+(16*4.5))*1.05</f>
        <v>837.79499999999996</v>
      </c>
      <c r="D44" s="25" t="s">
        <v>70</v>
      </c>
    </row>
    <row r="45" spans="1:4" ht="18.75" x14ac:dyDescent="0.3">
      <c r="A45" s="18" t="s">
        <v>71</v>
      </c>
      <c r="B45" s="19" t="s">
        <v>72</v>
      </c>
      <c r="C45" s="13">
        <f>38.5+87.36</f>
        <v>125.86</v>
      </c>
      <c r="D45" s="26" t="s">
        <v>73</v>
      </c>
    </row>
    <row r="46" spans="1:4" ht="18.75" x14ac:dyDescent="0.3">
      <c r="A46" s="18"/>
      <c r="B46" s="19"/>
      <c r="C46" s="13"/>
      <c r="D46" s="20"/>
    </row>
    <row r="47" spans="1:4" ht="18.75" x14ac:dyDescent="0.3">
      <c r="A47" s="8" t="s">
        <v>74</v>
      </c>
      <c r="B47" s="15" t="s">
        <v>75</v>
      </c>
      <c r="C47" s="13"/>
      <c r="D47" s="20"/>
    </row>
    <row r="48" spans="1:4" ht="18.75" x14ac:dyDescent="0.3">
      <c r="A48" s="18" t="s">
        <v>17</v>
      </c>
      <c r="B48" s="19" t="s">
        <v>76</v>
      </c>
      <c r="C48" s="13">
        <f>+(98.71*13)*1.05</f>
        <v>1347.3915000000002</v>
      </c>
      <c r="D48" s="26" t="s">
        <v>70</v>
      </c>
    </row>
    <row r="49" spans="1:4" ht="18.75" x14ac:dyDescent="0.3">
      <c r="A49" s="18" t="s">
        <v>20</v>
      </c>
      <c r="B49" s="19" t="s">
        <v>77</v>
      </c>
      <c r="C49" s="13">
        <f>+(98.71*13)*1.05</f>
        <v>1347.3915000000002</v>
      </c>
      <c r="D49" s="26" t="s">
        <v>70</v>
      </c>
    </row>
    <row r="50" spans="1:4" ht="18.75" x14ac:dyDescent="0.3">
      <c r="A50" s="18" t="s">
        <v>22</v>
      </c>
      <c r="B50" s="19" t="s">
        <v>78</v>
      </c>
      <c r="C50" s="13">
        <f>+(98.71*13)*1.05</f>
        <v>1347.3915000000002</v>
      </c>
      <c r="D50" s="26" t="s">
        <v>70</v>
      </c>
    </row>
    <row r="51" spans="1:4" ht="18.75" x14ac:dyDescent="0.3">
      <c r="A51" s="18" t="s">
        <v>24</v>
      </c>
      <c r="B51" s="19" t="s">
        <v>79</v>
      </c>
      <c r="C51" s="13">
        <f>(6*1.2)*1.25</f>
        <v>9</v>
      </c>
      <c r="D51" s="26" t="s">
        <v>73</v>
      </c>
    </row>
    <row r="52" spans="1:4" ht="18.75" x14ac:dyDescent="0.3">
      <c r="A52" s="18" t="s">
        <v>27</v>
      </c>
      <c r="B52" s="19" t="s">
        <v>80</v>
      </c>
      <c r="C52" s="13">
        <f>+C53*2</f>
        <v>903.54000000000008</v>
      </c>
      <c r="D52" s="26" t="s">
        <v>73</v>
      </c>
    </row>
    <row r="53" spans="1:4" ht="18.75" x14ac:dyDescent="0.3">
      <c r="A53" s="18" t="s">
        <v>36</v>
      </c>
      <c r="B53" s="19" t="s">
        <v>81</v>
      </c>
      <c r="C53" s="13">
        <f>(267.9+13.6+129.2)*1.1</f>
        <v>451.77000000000004</v>
      </c>
      <c r="D53" s="20" t="s">
        <v>73</v>
      </c>
    </row>
    <row r="54" spans="1:4" ht="18.75" x14ac:dyDescent="0.3">
      <c r="A54" s="18"/>
      <c r="B54" s="19"/>
      <c r="C54" s="13"/>
      <c r="D54" s="20"/>
    </row>
    <row r="55" spans="1:4" ht="18.75" x14ac:dyDescent="0.3">
      <c r="A55" s="8" t="s">
        <v>82</v>
      </c>
      <c r="B55" s="15" t="s">
        <v>83</v>
      </c>
      <c r="C55" s="13"/>
      <c r="D55" s="20"/>
    </row>
    <row r="56" spans="1:4" ht="18.75" x14ac:dyDescent="0.3">
      <c r="A56" s="18" t="s">
        <v>17</v>
      </c>
      <c r="B56" s="19" t="s">
        <v>84</v>
      </c>
      <c r="C56" s="13">
        <v>25000</v>
      </c>
      <c r="D56" s="20" t="s">
        <v>85</v>
      </c>
    </row>
    <row r="57" spans="1:4" ht="18.75" x14ac:dyDescent="0.3">
      <c r="A57" s="18" t="s">
        <v>20</v>
      </c>
      <c r="B57" s="19" t="s">
        <v>86</v>
      </c>
      <c r="C57" s="13">
        <f>255.76*10.76</f>
        <v>2751.9775999999997</v>
      </c>
      <c r="D57" s="26" t="s">
        <v>87</v>
      </c>
    </row>
    <row r="58" spans="1:4" ht="18.75" x14ac:dyDescent="0.3">
      <c r="A58" s="18" t="s">
        <v>22</v>
      </c>
      <c r="B58" s="19" t="s">
        <v>88</v>
      </c>
      <c r="C58" s="13">
        <f>+(4*8)+(10)</f>
        <v>42</v>
      </c>
      <c r="D58" s="20" t="s">
        <v>89</v>
      </c>
    </row>
    <row r="59" spans="1:4" ht="18.75" x14ac:dyDescent="0.3">
      <c r="A59" s="18" t="s">
        <v>24</v>
      </c>
      <c r="B59" s="19" t="s">
        <v>90</v>
      </c>
      <c r="C59" s="13">
        <v>1</v>
      </c>
      <c r="D59" s="20" t="s">
        <v>89</v>
      </c>
    </row>
    <row r="60" spans="1:4" ht="18.75" x14ac:dyDescent="0.3">
      <c r="A60" s="18"/>
      <c r="B60" s="19"/>
      <c r="C60" s="13"/>
      <c r="D60" s="20"/>
    </row>
    <row r="61" spans="1:4" ht="18.75" x14ac:dyDescent="0.3">
      <c r="A61" s="8" t="s">
        <v>91</v>
      </c>
      <c r="B61" s="15" t="s">
        <v>92</v>
      </c>
      <c r="C61" s="13"/>
      <c r="D61" s="20"/>
    </row>
    <row r="62" spans="1:4" ht="18.75" x14ac:dyDescent="0.3">
      <c r="A62" s="18" t="s">
        <v>17</v>
      </c>
      <c r="B62" s="19" t="s">
        <v>93</v>
      </c>
      <c r="C62" s="27">
        <f>+(140.64+90.53+231.53)*1.2</f>
        <v>555.24</v>
      </c>
      <c r="D62" s="26" t="s">
        <v>70</v>
      </c>
    </row>
    <row r="63" spans="1:4" ht="18.75" x14ac:dyDescent="0.3">
      <c r="A63" s="18" t="s">
        <v>20</v>
      </c>
      <c r="B63" s="19" t="s">
        <v>94</v>
      </c>
      <c r="C63" s="27">
        <f>+(39.75+189.04+80.6)*1.2</f>
        <v>371.26799999999997</v>
      </c>
      <c r="D63" s="26" t="s">
        <v>70</v>
      </c>
    </row>
    <row r="64" spans="1:4" ht="18.75" x14ac:dyDescent="0.3">
      <c r="A64" s="18" t="s">
        <v>22</v>
      </c>
      <c r="B64" s="19" t="s">
        <v>95</v>
      </c>
      <c r="C64" s="27">
        <f>+(310.48+800+1152.2)*1.2</f>
        <v>2715.2160000000003</v>
      </c>
      <c r="D64" s="26" t="s">
        <v>73</v>
      </c>
    </row>
    <row r="65" spans="1:4" ht="18.75" x14ac:dyDescent="0.3">
      <c r="A65" s="18" t="s">
        <v>24</v>
      </c>
      <c r="B65" s="19" t="s">
        <v>96</v>
      </c>
      <c r="C65" s="27">
        <f>+(246+131.03+229.44)*1.2</f>
        <v>727.76400000000001</v>
      </c>
      <c r="D65" s="26" t="s">
        <v>70</v>
      </c>
    </row>
    <row r="66" spans="1:4" ht="18.75" x14ac:dyDescent="0.3">
      <c r="A66" s="18" t="s">
        <v>27</v>
      </c>
      <c r="B66" s="19" t="s">
        <v>97</v>
      </c>
      <c r="C66" s="27">
        <f>+(24.49+8.67+32.18)*1.2</f>
        <v>78.408000000000001</v>
      </c>
      <c r="D66" s="26" t="s">
        <v>70</v>
      </c>
    </row>
    <row r="67" spans="1:4" ht="18.75" x14ac:dyDescent="0.3">
      <c r="A67" s="18" t="s">
        <v>36</v>
      </c>
      <c r="B67" s="19" t="s">
        <v>98</v>
      </c>
      <c r="C67" s="27">
        <f>13.88*1.15</f>
        <v>15.962</v>
      </c>
      <c r="D67" s="26" t="s">
        <v>70</v>
      </c>
    </row>
    <row r="68" spans="1:4" ht="18.75" x14ac:dyDescent="0.3">
      <c r="A68" s="18" t="s">
        <v>42</v>
      </c>
      <c r="B68" s="19" t="s">
        <v>99</v>
      </c>
      <c r="C68" s="27">
        <f>246.25*1.15</f>
        <v>283.1875</v>
      </c>
      <c r="D68" s="26" t="s">
        <v>70</v>
      </c>
    </row>
    <row r="69" spans="1:4" ht="18.75" x14ac:dyDescent="0.3">
      <c r="A69" s="18"/>
      <c r="B69" s="19"/>
      <c r="C69" s="27"/>
      <c r="D69" s="26"/>
    </row>
    <row r="70" spans="1:4" ht="18.75" x14ac:dyDescent="0.3">
      <c r="A70" s="8" t="s">
        <v>100</v>
      </c>
      <c r="B70" s="15" t="s">
        <v>101</v>
      </c>
      <c r="C70" s="13"/>
      <c r="D70" s="17"/>
    </row>
    <row r="71" spans="1:4" ht="18.75" x14ac:dyDescent="0.25">
      <c r="A71" s="18" t="s">
        <v>17</v>
      </c>
      <c r="B71" s="28" t="s">
        <v>102</v>
      </c>
      <c r="C71" s="22">
        <f>127.46*1.15</f>
        <v>146.57899999999998</v>
      </c>
      <c r="D71" s="23" t="s">
        <v>70</v>
      </c>
    </row>
    <row r="72" spans="1:4" ht="18.75" x14ac:dyDescent="0.25">
      <c r="A72" s="18" t="s">
        <v>20</v>
      </c>
      <c r="B72" s="28" t="s">
        <v>103</v>
      </c>
      <c r="C72" s="22">
        <f>+(144.01+342.52+341.63)*1.1</f>
        <v>910.976</v>
      </c>
      <c r="D72" s="23" t="s">
        <v>70</v>
      </c>
    </row>
    <row r="73" spans="1:4" ht="18.75" x14ac:dyDescent="0.25">
      <c r="A73" s="18" t="s">
        <v>22</v>
      </c>
      <c r="B73" s="28" t="s">
        <v>104</v>
      </c>
      <c r="C73" s="22">
        <f>+((33.53+9.07+3.21+11.92+52.09+12.6+85.75+(101.98*3)+41.48)*2)*1.15</f>
        <v>1277.857</v>
      </c>
      <c r="D73" s="23" t="s">
        <v>73</v>
      </c>
    </row>
    <row r="74" spans="1:4" ht="18.75" x14ac:dyDescent="0.25">
      <c r="A74" s="18" t="s">
        <v>24</v>
      </c>
      <c r="B74" s="28" t="s">
        <v>105</v>
      </c>
      <c r="C74" s="22">
        <f>4.52*1.15</f>
        <v>5.1979999999999995</v>
      </c>
      <c r="D74" s="23" t="s">
        <v>70</v>
      </c>
    </row>
    <row r="75" spans="1:4" ht="18.75" x14ac:dyDescent="0.25">
      <c r="A75" s="18" t="s">
        <v>27</v>
      </c>
      <c r="B75" s="21" t="s">
        <v>106</v>
      </c>
      <c r="C75" s="22">
        <f>19.45*1.15</f>
        <v>22.367499999999996</v>
      </c>
      <c r="D75" s="23" t="s">
        <v>70</v>
      </c>
    </row>
    <row r="76" spans="1:4" ht="20.25" customHeight="1" x14ac:dyDescent="0.25">
      <c r="A76" s="18" t="s">
        <v>36</v>
      </c>
      <c r="B76" s="21" t="s">
        <v>107</v>
      </c>
      <c r="C76" s="22">
        <f>+((10.25*2.61)+(5.35*2.8))*1.05</f>
        <v>43.819125</v>
      </c>
      <c r="D76" s="23" t="s">
        <v>70</v>
      </c>
    </row>
    <row r="77" spans="1:4" ht="18.75" x14ac:dyDescent="0.25">
      <c r="A77" s="18" t="s">
        <v>42</v>
      </c>
      <c r="B77" s="21" t="s">
        <v>108</v>
      </c>
      <c r="C77" s="22">
        <f>+(5.8+2.31+0.31+0.3+2.36+0.3)*1.1</f>
        <v>12.518000000000002</v>
      </c>
      <c r="D77" s="23" t="s">
        <v>70</v>
      </c>
    </row>
    <row r="78" spans="1:4" ht="18.75" x14ac:dyDescent="0.25">
      <c r="A78" s="18" t="s">
        <v>44</v>
      </c>
      <c r="B78" s="21" t="s">
        <v>109</v>
      </c>
      <c r="C78" s="22">
        <f>16.46*1.15</f>
        <v>18.928999999999998</v>
      </c>
      <c r="D78" s="23" t="s">
        <v>70</v>
      </c>
    </row>
    <row r="79" spans="1:4" ht="18.75" x14ac:dyDescent="0.25">
      <c r="A79" s="18" t="s">
        <v>46</v>
      </c>
      <c r="B79" s="21" t="s">
        <v>110</v>
      </c>
      <c r="C79" s="22">
        <f>+(5.35*2.8)*1.05</f>
        <v>15.728999999999999</v>
      </c>
      <c r="D79" s="23" t="s">
        <v>70</v>
      </c>
    </row>
    <row r="80" spans="1:4" ht="37.5" x14ac:dyDescent="0.25">
      <c r="A80" s="18" t="s">
        <v>48</v>
      </c>
      <c r="B80" s="21" t="s">
        <v>111</v>
      </c>
      <c r="C80" s="22">
        <f>54.32*1.15</f>
        <v>62.467999999999996</v>
      </c>
      <c r="D80" s="23" t="s">
        <v>73</v>
      </c>
    </row>
    <row r="81" spans="1:4" ht="18.75" customHeight="1" x14ac:dyDescent="0.25">
      <c r="A81" s="18" t="s">
        <v>50</v>
      </c>
      <c r="B81" s="21" t="s">
        <v>112</v>
      </c>
      <c r="C81" s="22">
        <f>8.87*1.1</f>
        <v>9.7569999999999997</v>
      </c>
      <c r="D81" s="23" t="s">
        <v>70</v>
      </c>
    </row>
    <row r="82" spans="1:4" ht="18.75" x14ac:dyDescent="0.25">
      <c r="A82" s="18"/>
      <c r="B82" s="21"/>
      <c r="C82" s="22"/>
      <c r="D82" s="23"/>
    </row>
    <row r="83" spans="1:4" ht="18.75" x14ac:dyDescent="0.3">
      <c r="A83" s="8" t="s">
        <v>113</v>
      </c>
      <c r="B83" s="15" t="s">
        <v>114</v>
      </c>
      <c r="C83" s="13"/>
      <c r="D83" s="17"/>
    </row>
    <row r="84" spans="1:4" ht="18.75" x14ac:dyDescent="0.3">
      <c r="A84" s="18" t="s">
        <v>17</v>
      </c>
      <c r="B84" s="19" t="s">
        <v>115</v>
      </c>
      <c r="C84" s="27">
        <f>2501.46*1.05</f>
        <v>2626.5330000000004</v>
      </c>
      <c r="D84" s="20" t="s">
        <v>70</v>
      </c>
    </row>
    <row r="85" spans="1:4" ht="18.75" x14ac:dyDescent="0.3">
      <c r="A85" s="18" t="s">
        <v>20</v>
      </c>
      <c r="B85" s="19" t="s">
        <v>116</v>
      </c>
      <c r="C85" s="27">
        <f>529.49*1.05</f>
        <v>555.96450000000004</v>
      </c>
      <c r="D85" s="20" t="s">
        <v>70</v>
      </c>
    </row>
    <row r="86" spans="1:4" ht="18.75" x14ac:dyDescent="0.3">
      <c r="A86" s="18" t="s">
        <v>22</v>
      </c>
      <c r="B86" s="21" t="s">
        <v>117</v>
      </c>
      <c r="C86" s="27">
        <f>+(96.21*13)*1.05</f>
        <v>1313.2665000000002</v>
      </c>
      <c r="D86" s="20" t="s">
        <v>70</v>
      </c>
    </row>
    <row r="87" spans="1:4" ht="18.75" x14ac:dyDescent="0.3">
      <c r="A87" s="18" t="s">
        <v>24</v>
      </c>
      <c r="B87" s="19" t="s">
        <v>118</v>
      </c>
      <c r="C87" s="27">
        <f>+(166.69+107.3+274.4+(106.01*1*3)+((316.48*3)+101.22))*1.15</f>
        <v>2204.6419999999998</v>
      </c>
      <c r="D87" s="20" t="s">
        <v>70</v>
      </c>
    </row>
    <row r="88" spans="1:4" ht="18.75" x14ac:dyDescent="0.3">
      <c r="A88" s="18" t="s">
        <v>27</v>
      </c>
      <c r="B88" s="19" t="s">
        <v>119</v>
      </c>
      <c r="C88" s="27">
        <f>+(240.1+145.85+93.88+(106.01*1*3))*1.15</f>
        <v>917.53899999999999</v>
      </c>
      <c r="D88" s="20" t="s">
        <v>70</v>
      </c>
    </row>
    <row r="89" spans="1:4" ht="18.75" x14ac:dyDescent="0.3">
      <c r="A89" s="18" t="s">
        <v>36</v>
      </c>
      <c r="B89" s="19" t="s">
        <v>120</v>
      </c>
      <c r="C89" s="27">
        <f>+((((316.48*3)+101.22)-371.27)+15.96)*1.15</f>
        <v>799.65250000000015</v>
      </c>
      <c r="D89" s="20" t="s">
        <v>70</v>
      </c>
    </row>
    <row r="90" spans="1:4" ht="18.75" x14ac:dyDescent="0.3">
      <c r="A90" s="18" t="s">
        <v>42</v>
      </c>
      <c r="B90" s="21" t="s">
        <v>121</v>
      </c>
      <c r="C90" s="27">
        <f>+(((1.31+1.31+1.31+1.31131+1.46+0.3+0.3+0.3+8.21+8.21)*2.8)+((8.21+8.21)*13))*1.15</f>
        <v>322.82761820000002</v>
      </c>
      <c r="D90" s="20" t="s">
        <v>70</v>
      </c>
    </row>
    <row r="91" spans="1:4" ht="18.75" x14ac:dyDescent="0.3">
      <c r="A91" s="18" t="s">
        <v>44</v>
      </c>
      <c r="B91" s="21" t="s">
        <v>122</v>
      </c>
      <c r="C91" s="27">
        <f>((43.47*4)*8.5)*1.05</f>
        <v>1551.8790000000001</v>
      </c>
      <c r="D91" s="20" t="s">
        <v>70</v>
      </c>
    </row>
    <row r="92" spans="1:4" ht="18.75" x14ac:dyDescent="0.25">
      <c r="A92" s="18" t="s">
        <v>46</v>
      </c>
      <c r="B92" s="21" t="s">
        <v>123</v>
      </c>
      <c r="C92" s="22">
        <f>+((2.31+3.31+2.59+5.18)*2.8)*1.1</f>
        <v>41.241199999999999</v>
      </c>
      <c r="D92" s="23" t="s">
        <v>70</v>
      </c>
    </row>
    <row r="93" spans="1:4" ht="18.75" x14ac:dyDescent="0.25">
      <c r="A93" s="18" t="s">
        <v>48</v>
      </c>
      <c r="B93" s="21" t="s">
        <v>124</v>
      </c>
      <c r="C93" s="22">
        <f>+(((30.49+32.55)*2.6)+(1.21+8.21+1.21+8.21)*8)*2.8*1.05</f>
        <v>924.99456000000009</v>
      </c>
      <c r="D93" s="23" t="s">
        <v>70</v>
      </c>
    </row>
    <row r="94" spans="1:4" ht="18.75" x14ac:dyDescent="0.25">
      <c r="A94" s="18" t="s">
        <v>50</v>
      </c>
      <c r="B94" s="21" t="s">
        <v>125</v>
      </c>
      <c r="C94" s="22">
        <f>+((2.36+2.8+2.8)+((2.65+2.65+6.83+6.83)*8))*2.8*1.1</f>
        <v>491.69120000000004</v>
      </c>
      <c r="D94" s="23" t="s">
        <v>70</v>
      </c>
    </row>
    <row r="95" spans="1:4" ht="18.75" x14ac:dyDescent="0.3">
      <c r="A95" s="18" t="s">
        <v>52</v>
      </c>
      <c r="B95" s="21" t="s">
        <v>126</v>
      </c>
      <c r="C95" s="27">
        <f>+(30.49+32.55+10.69)*2.8</f>
        <v>206.44399999999996</v>
      </c>
      <c r="D95" s="20" t="s">
        <v>70</v>
      </c>
    </row>
    <row r="96" spans="1:4" ht="18.75" x14ac:dyDescent="0.3">
      <c r="A96" s="18" t="s">
        <v>54</v>
      </c>
      <c r="B96" s="21" t="s">
        <v>127</v>
      </c>
      <c r="C96" s="27">
        <f>179.3*1.15</f>
        <v>206.19499999999999</v>
      </c>
      <c r="D96" s="20" t="s">
        <v>70</v>
      </c>
    </row>
    <row r="97" spans="1:4" ht="18.75" x14ac:dyDescent="0.3">
      <c r="A97" s="18"/>
      <c r="B97" s="21"/>
      <c r="C97" s="27"/>
      <c r="D97" s="20"/>
    </row>
    <row r="98" spans="1:4" ht="18.75" x14ac:dyDescent="0.3">
      <c r="A98" s="8" t="s">
        <v>128</v>
      </c>
      <c r="B98" s="15" t="s">
        <v>129</v>
      </c>
      <c r="C98" s="27"/>
      <c r="D98" s="17"/>
    </row>
    <row r="99" spans="1:4" ht="18.75" x14ac:dyDescent="0.25">
      <c r="A99" s="18" t="s">
        <v>17</v>
      </c>
      <c r="B99" s="21" t="s">
        <v>130</v>
      </c>
      <c r="C99" s="22">
        <f>+(650.72+674.22)*1.15</f>
        <v>1523.681</v>
      </c>
      <c r="D99" s="23" t="s">
        <v>131</v>
      </c>
    </row>
    <row r="100" spans="1:4" ht="18.75" x14ac:dyDescent="0.25">
      <c r="A100" s="18" t="s">
        <v>20</v>
      </c>
      <c r="B100" s="21" t="s">
        <v>132</v>
      </c>
      <c r="C100" s="22">
        <f>+(80.57)*1.15</f>
        <v>92.655499999999989</v>
      </c>
      <c r="D100" s="23" t="s">
        <v>131</v>
      </c>
    </row>
    <row r="101" spans="1:4" ht="18.75" x14ac:dyDescent="0.25">
      <c r="A101" s="18" t="s">
        <v>22</v>
      </c>
      <c r="B101" s="21" t="s">
        <v>133</v>
      </c>
      <c r="C101" s="22">
        <f>17+10+8</f>
        <v>35</v>
      </c>
      <c r="D101" s="25" t="s">
        <v>89</v>
      </c>
    </row>
    <row r="102" spans="1:4" ht="18.75" x14ac:dyDescent="0.25">
      <c r="A102" s="18" t="s">
        <v>24</v>
      </c>
      <c r="B102" s="21" t="s">
        <v>134</v>
      </c>
      <c r="C102" s="22">
        <v>4</v>
      </c>
      <c r="D102" s="25" t="s">
        <v>89</v>
      </c>
    </row>
    <row r="103" spans="1:4" ht="18.75" x14ac:dyDescent="0.25">
      <c r="A103" s="18" t="s">
        <v>27</v>
      </c>
      <c r="B103" s="21" t="s">
        <v>135</v>
      </c>
      <c r="C103" s="22">
        <v>1</v>
      </c>
      <c r="D103" s="25" t="s">
        <v>89</v>
      </c>
    </row>
    <row r="104" spans="1:4" ht="18.75" x14ac:dyDescent="0.25">
      <c r="A104" s="18" t="s">
        <v>36</v>
      </c>
      <c r="B104" s="21" t="s">
        <v>136</v>
      </c>
      <c r="C104" s="22">
        <v>1</v>
      </c>
      <c r="D104" s="25" t="s">
        <v>89</v>
      </c>
    </row>
    <row r="105" spans="1:4" ht="18.75" x14ac:dyDescent="0.25">
      <c r="A105" s="18" t="s">
        <v>42</v>
      </c>
      <c r="B105" s="21" t="s">
        <v>137</v>
      </c>
      <c r="C105" s="22">
        <v>5</v>
      </c>
      <c r="D105" s="25" t="s">
        <v>89</v>
      </c>
    </row>
    <row r="106" spans="1:4" ht="18.75" x14ac:dyDescent="0.25">
      <c r="A106" s="18" t="s">
        <v>138</v>
      </c>
      <c r="B106" s="21" t="s">
        <v>139</v>
      </c>
      <c r="C106" s="22">
        <v>1</v>
      </c>
      <c r="D106" s="25" t="s">
        <v>89</v>
      </c>
    </row>
    <row r="107" spans="1:4" ht="18.75" x14ac:dyDescent="0.25">
      <c r="A107" s="18" t="s">
        <v>46</v>
      </c>
      <c r="B107" s="21" t="s">
        <v>140</v>
      </c>
      <c r="C107" s="22">
        <v>2</v>
      </c>
      <c r="D107" s="25" t="s">
        <v>89</v>
      </c>
    </row>
    <row r="108" spans="1:4" ht="18.75" x14ac:dyDescent="0.25">
      <c r="A108" s="18" t="s">
        <v>48</v>
      </c>
      <c r="B108" s="21" t="s">
        <v>141</v>
      </c>
      <c r="C108" s="22">
        <v>12</v>
      </c>
      <c r="D108" s="25" t="s">
        <v>89</v>
      </c>
    </row>
    <row r="109" spans="1:4" ht="18.75" x14ac:dyDescent="0.25">
      <c r="A109" s="18" t="s">
        <v>50</v>
      </c>
      <c r="B109" s="21" t="s">
        <v>142</v>
      </c>
      <c r="C109" s="22">
        <v>1</v>
      </c>
      <c r="D109" s="25" t="s">
        <v>89</v>
      </c>
    </row>
    <row r="110" spans="1:4" ht="18.75" x14ac:dyDescent="0.25">
      <c r="A110" s="18" t="s">
        <v>52</v>
      </c>
      <c r="B110" s="21" t="s">
        <v>143</v>
      </c>
      <c r="C110" s="22">
        <v>6</v>
      </c>
      <c r="D110" s="25" t="s">
        <v>89</v>
      </c>
    </row>
    <row r="111" spans="1:4" ht="18.75" x14ac:dyDescent="0.3">
      <c r="A111" s="18" t="s">
        <v>54</v>
      </c>
      <c r="B111" s="19" t="s">
        <v>144</v>
      </c>
      <c r="C111" s="27">
        <v>49</v>
      </c>
      <c r="D111" s="25" t="s">
        <v>89</v>
      </c>
    </row>
    <row r="112" spans="1:4" ht="18.75" x14ac:dyDescent="0.3">
      <c r="A112" s="18" t="s">
        <v>56</v>
      </c>
      <c r="B112" s="19" t="s">
        <v>145</v>
      </c>
      <c r="C112" s="27">
        <v>49</v>
      </c>
      <c r="D112" s="25" t="s">
        <v>89</v>
      </c>
    </row>
    <row r="113" spans="1:4" ht="18.75" x14ac:dyDescent="0.3">
      <c r="A113" s="18" t="s">
        <v>58</v>
      </c>
      <c r="B113" s="19" t="s">
        <v>146</v>
      </c>
      <c r="C113" s="27">
        <v>49</v>
      </c>
      <c r="D113" s="26" t="s">
        <v>89</v>
      </c>
    </row>
    <row r="114" spans="1:4" ht="18.75" x14ac:dyDescent="0.3">
      <c r="A114" s="18" t="s">
        <v>60</v>
      </c>
      <c r="B114" s="19" t="s">
        <v>147</v>
      </c>
      <c r="C114" s="27">
        <f>+(C99+(C111*10.76))*1.05</f>
        <v>2153.4670500000002</v>
      </c>
      <c r="D114" s="23" t="s">
        <v>131</v>
      </c>
    </row>
    <row r="115" spans="1:4" ht="37.5" x14ac:dyDescent="0.3">
      <c r="A115" s="18" t="s">
        <v>62</v>
      </c>
      <c r="B115" s="24" t="s">
        <v>148</v>
      </c>
      <c r="C115" s="22">
        <f>+((4.8*9*1.2)*1.15)*10.76</f>
        <v>641.4681599999999</v>
      </c>
      <c r="D115" s="23" t="s">
        <v>131</v>
      </c>
    </row>
    <row r="116" spans="1:4" ht="18.75" x14ac:dyDescent="0.25">
      <c r="A116" s="18" t="s">
        <v>64</v>
      </c>
      <c r="B116" s="21" t="s">
        <v>149</v>
      </c>
      <c r="C116" s="22">
        <f>+(((13.93+36.28+30.14+6.29+7.9+6.33)+(2.66*12))*10.76)*1.25</f>
        <v>1786.0255000000004</v>
      </c>
      <c r="D116" s="23" t="s">
        <v>131</v>
      </c>
    </row>
    <row r="117" spans="1:4" ht="18.75" x14ac:dyDescent="0.3">
      <c r="A117" s="18"/>
      <c r="B117" s="19"/>
      <c r="C117" s="13"/>
      <c r="D117" s="23"/>
    </row>
    <row r="118" spans="1:4" ht="18.75" x14ac:dyDescent="0.3">
      <c r="A118" s="8" t="s">
        <v>150</v>
      </c>
      <c r="B118" s="15" t="s">
        <v>151</v>
      </c>
      <c r="C118" s="13"/>
      <c r="D118" s="17"/>
    </row>
    <row r="119" spans="1:4" ht="18.75" x14ac:dyDescent="0.3">
      <c r="A119" s="18" t="s">
        <v>17</v>
      </c>
      <c r="B119" s="19" t="s">
        <v>152</v>
      </c>
      <c r="C119" s="27">
        <v>1</v>
      </c>
      <c r="D119" s="26" t="s">
        <v>89</v>
      </c>
    </row>
    <row r="120" spans="1:4" ht="18.75" x14ac:dyDescent="0.3">
      <c r="A120" s="18"/>
      <c r="B120" s="19" t="s">
        <v>153</v>
      </c>
      <c r="C120" s="27">
        <v>1</v>
      </c>
      <c r="D120" s="26" t="s">
        <v>89</v>
      </c>
    </row>
    <row r="121" spans="1:4" ht="18.75" x14ac:dyDescent="0.3">
      <c r="A121" s="18" t="s">
        <v>20</v>
      </c>
      <c r="B121" s="19" t="s">
        <v>154</v>
      </c>
      <c r="C121" s="27">
        <v>2</v>
      </c>
      <c r="D121" s="26" t="s">
        <v>89</v>
      </c>
    </row>
    <row r="122" spans="1:4" ht="18.75" x14ac:dyDescent="0.3">
      <c r="A122" s="18"/>
      <c r="B122" s="19" t="s">
        <v>155</v>
      </c>
      <c r="C122" s="27">
        <v>1</v>
      </c>
      <c r="D122" s="26" t="s">
        <v>89</v>
      </c>
    </row>
    <row r="123" spans="1:4" ht="18.75" x14ac:dyDescent="0.3">
      <c r="A123" s="18" t="s">
        <v>22</v>
      </c>
      <c r="B123" s="19" t="s">
        <v>156</v>
      </c>
      <c r="C123" s="27">
        <v>1</v>
      </c>
      <c r="D123" s="26" t="s">
        <v>89</v>
      </c>
    </row>
    <row r="124" spans="1:4" ht="18.75" x14ac:dyDescent="0.3">
      <c r="A124" s="18" t="s">
        <v>24</v>
      </c>
      <c r="B124" s="19" t="s">
        <v>157</v>
      </c>
      <c r="C124" s="27">
        <v>5</v>
      </c>
      <c r="D124" s="26" t="s">
        <v>89</v>
      </c>
    </row>
    <row r="125" spans="1:4" ht="18.75" x14ac:dyDescent="0.3">
      <c r="A125" s="18" t="s">
        <v>27</v>
      </c>
      <c r="B125" s="19" t="s">
        <v>158</v>
      </c>
      <c r="C125" s="27">
        <v>3</v>
      </c>
      <c r="D125" s="26" t="s">
        <v>89</v>
      </c>
    </row>
    <row r="126" spans="1:4" ht="18.75" x14ac:dyDescent="0.3">
      <c r="A126" s="18" t="s">
        <v>36</v>
      </c>
      <c r="B126" s="19" t="s">
        <v>159</v>
      </c>
      <c r="C126" s="27">
        <f>+(1.98+2.46+2.11+2.21)*1.15</f>
        <v>10.073999999999996</v>
      </c>
      <c r="D126" s="26" t="s">
        <v>70</v>
      </c>
    </row>
    <row r="127" spans="1:4" ht="18.75" x14ac:dyDescent="0.3">
      <c r="A127" s="18" t="s">
        <v>42</v>
      </c>
      <c r="B127" s="19" t="s">
        <v>160</v>
      </c>
      <c r="C127" s="27">
        <v>1</v>
      </c>
      <c r="D127" s="26" t="s">
        <v>89</v>
      </c>
    </row>
    <row r="128" spans="1:4" ht="18.75" x14ac:dyDescent="0.3">
      <c r="A128" s="18" t="s">
        <v>44</v>
      </c>
      <c r="B128" s="19" t="s">
        <v>161</v>
      </c>
      <c r="C128" s="27">
        <f>+(40.54+1.16+1.02+12.97)*1.1</f>
        <v>61.259</v>
      </c>
      <c r="D128" s="26" t="s">
        <v>73</v>
      </c>
    </row>
    <row r="129" spans="1:4" ht="18.75" x14ac:dyDescent="0.3">
      <c r="A129" s="18" t="s">
        <v>46</v>
      </c>
      <c r="B129" s="19" t="s">
        <v>162</v>
      </c>
      <c r="C129" s="27">
        <f>+(13+13+13)*1.15</f>
        <v>44.849999999999994</v>
      </c>
      <c r="D129" s="26" t="s">
        <v>73</v>
      </c>
    </row>
    <row r="130" spans="1:4" ht="18.75" x14ac:dyDescent="0.3">
      <c r="A130" s="18" t="s">
        <v>48</v>
      </c>
      <c r="B130" s="19" t="s">
        <v>163</v>
      </c>
      <c r="C130" s="27">
        <f>+(13*6)*1.15</f>
        <v>89.699999999999989</v>
      </c>
      <c r="D130" s="26" t="s">
        <v>73</v>
      </c>
    </row>
    <row r="131" spans="1:4" ht="18.75" x14ac:dyDescent="0.3">
      <c r="A131" s="18" t="s">
        <v>50</v>
      </c>
      <c r="B131" s="19" t="s">
        <v>164</v>
      </c>
      <c r="C131" s="27">
        <f>+(13+13)*1.15</f>
        <v>29.9</v>
      </c>
      <c r="D131" s="26" t="s">
        <v>73</v>
      </c>
    </row>
    <row r="132" spans="1:4" ht="18.75" x14ac:dyDescent="0.3">
      <c r="A132" s="18" t="s">
        <v>52</v>
      </c>
      <c r="B132" s="19" t="s">
        <v>165</v>
      </c>
      <c r="C132" s="27">
        <f>+(4.75+4.31)*1.15</f>
        <v>10.418999999999997</v>
      </c>
      <c r="D132" s="26" t="s">
        <v>73</v>
      </c>
    </row>
    <row r="133" spans="1:4" ht="18.75" x14ac:dyDescent="0.3">
      <c r="A133" s="18" t="s">
        <v>54</v>
      </c>
      <c r="B133" s="19" t="s">
        <v>166</v>
      </c>
      <c r="C133" s="27">
        <f>8.04*1.15</f>
        <v>9.2459999999999987</v>
      </c>
      <c r="D133" s="26" t="s">
        <v>73</v>
      </c>
    </row>
    <row r="134" spans="1:4" ht="18.75" x14ac:dyDescent="0.3">
      <c r="A134" s="18" t="s">
        <v>56</v>
      </c>
      <c r="B134" s="19" t="s">
        <v>167</v>
      </c>
      <c r="C134" s="27">
        <f>26.17*1.15</f>
        <v>30.095500000000001</v>
      </c>
      <c r="D134" s="26" t="s">
        <v>73</v>
      </c>
    </row>
    <row r="135" spans="1:4" ht="18.75" x14ac:dyDescent="0.3">
      <c r="A135" s="18" t="s">
        <v>58</v>
      </c>
      <c r="B135" s="19" t="s">
        <v>168</v>
      </c>
      <c r="C135" s="27">
        <v>1</v>
      </c>
      <c r="D135" s="26" t="s">
        <v>89</v>
      </c>
    </row>
    <row r="136" spans="1:4" ht="18.75" x14ac:dyDescent="0.3">
      <c r="A136" s="18" t="s">
        <v>60</v>
      </c>
      <c r="B136" s="19" t="s">
        <v>169</v>
      </c>
      <c r="C136" s="13">
        <v>2</v>
      </c>
      <c r="D136" s="20" t="s">
        <v>89</v>
      </c>
    </row>
    <row r="137" spans="1:4" ht="18.75" x14ac:dyDescent="0.3">
      <c r="A137" s="2" t="s">
        <v>62</v>
      </c>
      <c r="B137" s="19" t="s">
        <v>170</v>
      </c>
      <c r="C137" s="13">
        <v>1</v>
      </c>
      <c r="D137" s="20" t="s">
        <v>89</v>
      </c>
    </row>
    <row r="138" spans="1:4" ht="18.75" x14ac:dyDescent="0.3">
      <c r="A138" s="2" t="s">
        <v>64</v>
      </c>
      <c r="B138" s="19" t="s">
        <v>171</v>
      </c>
      <c r="C138" s="13">
        <v>1</v>
      </c>
      <c r="D138" s="20" t="s">
        <v>89</v>
      </c>
    </row>
    <row r="139" spans="1:4" ht="18.75" x14ac:dyDescent="0.3">
      <c r="A139" s="2" t="s">
        <v>66</v>
      </c>
      <c r="B139" s="19" t="s">
        <v>172</v>
      </c>
      <c r="C139" s="13">
        <v>2</v>
      </c>
      <c r="D139" s="20" t="s">
        <v>89</v>
      </c>
    </row>
    <row r="140" spans="1:4" ht="18.75" x14ac:dyDescent="0.3">
      <c r="A140" s="2" t="s">
        <v>68</v>
      </c>
      <c r="B140" s="19" t="s">
        <v>173</v>
      </c>
      <c r="C140" s="13">
        <v>2</v>
      </c>
      <c r="D140" s="20" t="s">
        <v>89</v>
      </c>
    </row>
    <row r="141" spans="1:4" ht="18.75" x14ac:dyDescent="0.3">
      <c r="A141" s="2" t="s">
        <v>71</v>
      </c>
      <c r="B141" s="19" t="s">
        <v>174</v>
      </c>
      <c r="C141" s="13">
        <v>2</v>
      </c>
      <c r="D141" s="20" t="s">
        <v>89</v>
      </c>
    </row>
    <row r="142" spans="1:4" ht="18.75" x14ac:dyDescent="0.3">
      <c r="A142" s="2" t="s">
        <v>175</v>
      </c>
      <c r="B142" s="19" t="s">
        <v>176</v>
      </c>
      <c r="C142" s="13">
        <v>2</v>
      </c>
      <c r="D142" s="20" t="s">
        <v>89</v>
      </c>
    </row>
    <row r="143" spans="1:4" ht="18.75" x14ac:dyDescent="0.3">
      <c r="A143" s="2"/>
      <c r="B143" s="19"/>
      <c r="C143" s="13"/>
      <c r="D143" s="26"/>
    </row>
    <row r="144" spans="1:4" ht="18.75" x14ac:dyDescent="0.3">
      <c r="A144" s="8" t="s">
        <v>177</v>
      </c>
      <c r="B144" s="15" t="s">
        <v>178</v>
      </c>
      <c r="C144" s="13"/>
      <c r="D144" s="17"/>
    </row>
    <row r="145" spans="1:4" ht="18.75" x14ac:dyDescent="0.3">
      <c r="A145" s="18" t="s">
        <v>17</v>
      </c>
      <c r="B145" s="19" t="s">
        <v>179</v>
      </c>
      <c r="C145" s="13">
        <f>37+28+35+5</f>
        <v>105</v>
      </c>
      <c r="D145" s="26" t="s">
        <v>89</v>
      </c>
    </row>
    <row r="146" spans="1:4" ht="18.75" x14ac:dyDescent="0.3">
      <c r="A146" s="18" t="s">
        <v>20</v>
      </c>
      <c r="B146" s="19" t="s">
        <v>180</v>
      </c>
      <c r="C146" s="13">
        <f>78+21</f>
        <v>99</v>
      </c>
      <c r="D146" s="26" t="s">
        <v>89</v>
      </c>
    </row>
    <row r="147" spans="1:4" ht="18.75" x14ac:dyDescent="0.3">
      <c r="A147" s="18" t="s">
        <v>22</v>
      </c>
      <c r="B147" s="19" t="s">
        <v>181</v>
      </c>
      <c r="C147" s="13">
        <f>60+21+78</f>
        <v>159</v>
      </c>
      <c r="D147" s="26" t="s">
        <v>89</v>
      </c>
    </row>
    <row r="148" spans="1:4" ht="18.75" x14ac:dyDescent="0.3">
      <c r="A148" s="18" t="s">
        <v>24</v>
      </c>
      <c r="B148" s="19" t="s">
        <v>182</v>
      </c>
      <c r="C148" s="13">
        <v>30</v>
      </c>
      <c r="D148" s="26" t="s">
        <v>89</v>
      </c>
    </row>
    <row r="149" spans="1:4" ht="18.75" x14ac:dyDescent="0.3">
      <c r="A149" s="18" t="s">
        <v>27</v>
      </c>
      <c r="B149" s="19" t="s">
        <v>183</v>
      </c>
      <c r="C149" s="13">
        <f>11+29+16+9+7+29</f>
        <v>101</v>
      </c>
      <c r="D149" s="26" t="s">
        <v>89</v>
      </c>
    </row>
    <row r="150" spans="1:4" ht="18.75" x14ac:dyDescent="0.3">
      <c r="A150" s="18" t="s">
        <v>36</v>
      </c>
      <c r="B150" s="19" t="s">
        <v>184</v>
      </c>
      <c r="C150" s="13">
        <v>19</v>
      </c>
      <c r="D150" s="26" t="s">
        <v>89</v>
      </c>
    </row>
    <row r="151" spans="1:4" ht="18.75" x14ac:dyDescent="0.3">
      <c r="A151" s="18" t="s">
        <v>42</v>
      </c>
      <c r="B151" s="19" t="s">
        <v>185</v>
      </c>
      <c r="C151" s="13">
        <f>+(14.33+13.13+11.6+11.6+11.6+11.6+11.6+11.6+8.22+4.82+2.75+4.82+10.35+10.35+9.59+6.59+6.59)*1.05</f>
        <v>169.197</v>
      </c>
      <c r="D151" s="26" t="s">
        <v>73</v>
      </c>
    </row>
    <row r="152" spans="1:4" ht="18.75" x14ac:dyDescent="0.3">
      <c r="A152" s="18" t="s">
        <v>44</v>
      </c>
      <c r="B152" s="19" t="s">
        <v>186</v>
      </c>
      <c r="C152" s="13">
        <f>10+6+9</f>
        <v>25</v>
      </c>
      <c r="D152" s="26" t="s">
        <v>89</v>
      </c>
    </row>
    <row r="153" spans="1:4" ht="18.75" x14ac:dyDescent="0.3">
      <c r="A153" s="18" t="s">
        <v>46</v>
      </c>
      <c r="B153" s="19" t="s">
        <v>187</v>
      </c>
      <c r="C153" s="13">
        <f>3+1</f>
        <v>4</v>
      </c>
      <c r="D153" s="26" t="s">
        <v>89</v>
      </c>
    </row>
    <row r="154" spans="1:4" ht="18.75" x14ac:dyDescent="0.3">
      <c r="A154" s="18" t="s">
        <v>48</v>
      </c>
      <c r="B154" s="19" t="s">
        <v>188</v>
      </c>
      <c r="C154" s="13">
        <v>1</v>
      </c>
      <c r="D154" s="26" t="s">
        <v>89</v>
      </c>
    </row>
    <row r="155" spans="1:4" ht="18.75" x14ac:dyDescent="0.3">
      <c r="A155" s="18" t="s">
        <v>50</v>
      </c>
      <c r="B155" s="19" t="s">
        <v>189</v>
      </c>
      <c r="C155" s="13">
        <f>3+3+4</f>
        <v>10</v>
      </c>
      <c r="D155" s="26" t="s">
        <v>89</v>
      </c>
    </row>
    <row r="156" spans="1:4" ht="18.75" x14ac:dyDescent="0.3">
      <c r="A156" s="18" t="s">
        <v>52</v>
      </c>
      <c r="B156" s="19" t="s">
        <v>190</v>
      </c>
      <c r="C156" s="13">
        <f>60+103+34</f>
        <v>197</v>
      </c>
      <c r="D156" s="26" t="s">
        <v>89</v>
      </c>
    </row>
    <row r="157" spans="1:4" ht="18.75" x14ac:dyDescent="0.3">
      <c r="A157" s="18" t="s">
        <v>191</v>
      </c>
      <c r="B157" s="19" t="s">
        <v>192</v>
      </c>
      <c r="C157" s="13">
        <f>48+110+34</f>
        <v>192</v>
      </c>
      <c r="D157" s="26" t="s">
        <v>89</v>
      </c>
    </row>
    <row r="158" spans="1:4" ht="18.75" x14ac:dyDescent="0.3">
      <c r="A158" s="18" t="s">
        <v>56</v>
      </c>
      <c r="B158" s="19" t="s">
        <v>193</v>
      </c>
      <c r="C158" s="13">
        <v>12</v>
      </c>
      <c r="D158" s="26" t="s">
        <v>194</v>
      </c>
    </row>
    <row r="159" spans="1:4" ht="18.75" x14ac:dyDescent="0.3">
      <c r="A159" s="18" t="s">
        <v>58</v>
      </c>
      <c r="B159" s="19" t="s">
        <v>195</v>
      </c>
      <c r="C159" s="13">
        <f>2+4</f>
        <v>6</v>
      </c>
      <c r="D159" s="26" t="s">
        <v>89</v>
      </c>
    </row>
    <row r="160" spans="1:4" ht="18.75" x14ac:dyDescent="0.3">
      <c r="A160" s="18" t="s">
        <v>60</v>
      </c>
      <c r="B160" s="19" t="s">
        <v>196</v>
      </c>
      <c r="C160" s="13">
        <f>1+1+1</f>
        <v>3</v>
      </c>
      <c r="D160" s="26" t="s">
        <v>89</v>
      </c>
    </row>
    <row r="161" spans="1:4" ht="18.75" x14ac:dyDescent="0.3">
      <c r="A161" s="18" t="s">
        <v>62</v>
      </c>
      <c r="B161" s="19" t="s">
        <v>197</v>
      </c>
      <c r="C161" s="29">
        <v>96</v>
      </c>
      <c r="D161" s="26" t="s">
        <v>89</v>
      </c>
    </row>
    <row r="162" spans="1:4" ht="18.75" x14ac:dyDescent="0.3">
      <c r="A162" s="18" t="s">
        <v>64</v>
      </c>
      <c r="B162" s="19" t="s">
        <v>198</v>
      </c>
      <c r="C162" s="13">
        <v>192</v>
      </c>
      <c r="D162" s="26" t="s">
        <v>89</v>
      </c>
    </row>
    <row r="163" spans="1:4" ht="18.75" x14ac:dyDescent="0.3">
      <c r="A163" s="18" t="s">
        <v>66</v>
      </c>
      <c r="B163" s="19" t="s">
        <v>199</v>
      </c>
      <c r="C163" s="13">
        <v>192</v>
      </c>
      <c r="D163" s="26" t="s">
        <v>89</v>
      </c>
    </row>
    <row r="164" spans="1:4" ht="18.75" x14ac:dyDescent="0.3">
      <c r="A164" s="18" t="s">
        <v>68</v>
      </c>
      <c r="B164" s="19" t="s">
        <v>200</v>
      </c>
      <c r="C164" s="13">
        <v>1</v>
      </c>
      <c r="D164" s="26" t="s">
        <v>89</v>
      </c>
    </row>
    <row r="165" spans="1:4" ht="18.75" x14ac:dyDescent="0.3">
      <c r="A165" s="18" t="s">
        <v>71</v>
      </c>
      <c r="B165" s="19" t="s">
        <v>201</v>
      </c>
      <c r="C165" s="13">
        <v>2</v>
      </c>
      <c r="D165" s="26" t="s">
        <v>89</v>
      </c>
    </row>
    <row r="166" spans="1:4" ht="37.5" x14ac:dyDescent="0.3">
      <c r="A166" s="18" t="s">
        <v>175</v>
      </c>
      <c r="B166" s="24" t="s">
        <v>202</v>
      </c>
      <c r="C166" s="22">
        <v>1140</v>
      </c>
      <c r="D166" s="25" t="s">
        <v>87</v>
      </c>
    </row>
    <row r="167" spans="1:4" ht="18.75" x14ac:dyDescent="0.3">
      <c r="A167" s="18" t="s">
        <v>203</v>
      </c>
      <c r="B167" s="19" t="s">
        <v>204</v>
      </c>
      <c r="C167" s="13">
        <v>1</v>
      </c>
      <c r="D167" s="26" t="s">
        <v>89</v>
      </c>
    </row>
    <row r="168" spans="1:4" ht="18.75" x14ac:dyDescent="0.3">
      <c r="A168" s="18" t="s">
        <v>205</v>
      </c>
      <c r="B168" s="19" t="s">
        <v>206</v>
      </c>
      <c r="C168" s="13">
        <v>1</v>
      </c>
      <c r="D168" s="26" t="s">
        <v>89</v>
      </c>
    </row>
    <row r="169" spans="1:4" ht="18.75" x14ac:dyDescent="0.3">
      <c r="A169" s="18" t="s">
        <v>207</v>
      </c>
      <c r="B169" s="19" t="s">
        <v>208</v>
      </c>
      <c r="C169" s="13">
        <v>1</v>
      </c>
      <c r="D169" s="26" t="s">
        <v>89</v>
      </c>
    </row>
    <row r="170" spans="1:4" ht="18.75" x14ac:dyDescent="0.3">
      <c r="A170" s="18" t="s">
        <v>209</v>
      </c>
      <c r="B170" s="19" t="s">
        <v>210</v>
      </c>
      <c r="C170" s="13">
        <v>1</v>
      </c>
      <c r="D170" s="26" t="s">
        <v>89</v>
      </c>
    </row>
    <row r="171" spans="1:4" ht="18.75" x14ac:dyDescent="0.3">
      <c r="A171" s="18" t="s">
        <v>211</v>
      </c>
      <c r="B171" s="19" t="s">
        <v>212</v>
      </c>
      <c r="C171" s="13">
        <f>5+12+5+12</f>
        <v>34</v>
      </c>
      <c r="D171" s="26" t="s">
        <v>89</v>
      </c>
    </row>
    <row r="172" spans="1:4" ht="37.5" x14ac:dyDescent="0.25">
      <c r="A172" s="18" t="s">
        <v>213</v>
      </c>
      <c r="B172" s="21" t="s">
        <v>214</v>
      </c>
      <c r="C172" s="22">
        <v>1</v>
      </c>
      <c r="D172" s="25" t="s">
        <v>89</v>
      </c>
    </row>
    <row r="173" spans="1:4" ht="18.75" x14ac:dyDescent="0.25">
      <c r="A173" s="18" t="s">
        <v>215</v>
      </c>
      <c r="B173" s="21" t="s">
        <v>216</v>
      </c>
      <c r="C173" s="22">
        <f>+(46+82+39+39+39+39+39)*1.1</f>
        <v>355.3</v>
      </c>
      <c r="D173" s="25" t="s">
        <v>73</v>
      </c>
    </row>
    <row r="174" spans="1:4" ht="18.75" x14ac:dyDescent="0.3">
      <c r="A174" s="18" t="s">
        <v>217</v>
      </c>
      <c r="B174" s="19" t="s">
        <v>218</v>
      </c>
      <c r="C174" s="13">
        <v>1</v>
      </c>
      <c r="D174" s="26" t="s">
        <v>89</v>
      </c>
    </row>
    <row r="175" spans="1:4" ht="18.75" x14ac:dyDescent="0.3">
      <c r="A175" s="18" t="s">
        <v>219</v>
      </c>
      <c r="B175" s="19" t="s">
        <v>220</v>
      </c>
      <c r="C175" s="13">
        <v>272.2</v>
      </c>
      <c r="D175" s="26" t="s">
        <v>89</v>
      </c>
    </row>
    <row r="176" spans="1:4" ht="18.75" x14ac:dyDescent="0.3">
      <c r="A176" s="18" t="s">
        <v>221</v>
      </c>
      <c r="B176" s="19" t="s">
        <v>222</v>
      </c>
      <c r="C176" s="13">
        <v>297.52</v>
      </c>
      <c r="D176" s="26" t="s">
        <v>89</v>
      </c>
    </row>
    <row r="177" spans="1:4" ht="18.75" x14ac:dyDescent="0.3">
      <c r="A177" s="18" t="s">
        <v>223</v>
      </c>
      <c r="B177" s="19" t="s">
        <v>224</v>
      </c>
      <c r="C177" s="13">
        <v>221.89</v>
      </c>
      <c r="D177" s="26" t="s">
        <v>89</v>
      </c>
    </row>
    <row r="178" spans="1:4" ht="18.75" x14ac:dyDescent="0.3">
      <c r="A178" s="18"/>
      <c r="B178" s="19"/>
      <c r="C178" s="13"/>
      <c r="D178" s="20"/>
    </row>
    <row r="179" spans="1:4" ht="18.75" x14ac:dyDescent="0.3">
      <c r="A179" s="8" t="s">
        <v>225</v>
      </c>
      <c r="B179" s="15" t="s">
        <v>226</v>
      </c>
      <c r="C179" s="27"/>
      <c r="D179" s="17"/>
    </row>
    <row r="180" spans="1:4" ht="18.75" customHeight="1" x14ac:dyDescent="0.25">
      <c r="A180" s="18" t="s">
        <v>17</v>
      </c>
      <c r="B180" s="21" t="s">
        <v>227</v>
      </c>
      <c r="C180" s="22">
        <v>1</v>
      </c>
      <c r="D180" s="25" t="s">
        <v>89</v>
      </c>
    </row>
    <row r="181" spans="1:4" ht="18.75" x14ac:dyDescent="0.25">
      <c r="A181" s="18" t="s">
        <v>20</v>
      </c>
      <c r="B181" s="21" t="s">
        <v>228</v>
      </c>
      <c r="C181" s="22">
        <v>500</v>
      </c>
      <c r="D181" s="25" t="s">
        <v>73</v>
      </c>
    </row>
    <row r="182" spans="1:4" ht="18.75" x14ac:dyDescent="0.25">
      <c r="A182" s="18"/>
      <c r="B182" s="21"/>
      <c r="C182" s="22"/>
      <c r="D182" s="25"/>
    </row>
    <row r="183" spans="1:4" ht="18.75" x14ac:dyDescent="0.3">
      <c r="A183" s="8" t="s">
        <v>229</v>
      </c>
      <c r="B183" s="30" t="s">
        <v>230</v>
      </c>
      <c r="C183" s="31"/>
      <c r="D183" s="32"/>
    </row>
    <row r="184" spans="1:4" ht="18.75" x14ac:dyDescent="0.3">
      <c r="A184" s="18" t="s">
        <v>17</v>
      </c>
      <c r="B184" s="33" t="s">
        <v>231</v>
      </c>
      <c r="C184" s="22">
        <v>1</v>
      </c>
      <c r="D184" s="26" t="s">
        <v>89</v>
      </c>
    </row>
    <row r="185" spans="1:4" ht="18.75" x14ac:dyDescent="0.3">
      <c r="A185" s="18" t="s">
        <v>20</v>
      </c>
      <c r="B185" s="33" t="s">
        <v>232</v>
      </c>
      <c r="C185" s="22">
        <v>1</v>
      </c>
      <c r="D185" s="26" t="s">
        <v>89</v>
      </c>
    </row>
    <row r="186" spans="1:4" ht="18.75" x14ac:dyDescent="0.3">
      <c r="A186" s="18" t="s">
        <v>22</v>
      </c>
      <c r="B186" s="33" t="s">
        <v>233</v>
      </c>
      <c r="C186" s="22">
        <v>1</v>
      </c>
      <c r="D186" s="26" t="s">
        <v>89</v>
      </c>
    </row>
    <row r="187" spans="1:4" ht="18.75" x14ac:dyDescent="0.3">
      <c r="A187" s="18" t="s">
        <v>24</v>
      </c>
      <c r="B187" s="33" t="s">
        <v>234</v>
      </c>
      <c r="C187" s="22">
        <v>1</v>
      </c>
      <c r="D187" s="26" t="s">
        <v>89</v>
      </c>
    </row>
    <row r="188" spans="1:4" ht="18.75" x14ac:dyDescent="0.3">
      <c r="A188" s="18" t="s">
        <v>27</v>
      </c>
      <c r="B188" s="33" t="s">
        <v>235</v>
      </c>
      <c r="C188" s="22">
        <v>2</v>
      </c>
      <c r="D188" s="26" t="s">
        <v>89</v>
      </c>
    </row>
    <row r="189" spans="1:4" ht="18.75" x14ac:dyDescent="0.3">
      <c r="A189" s="18" t="s">
        <v>36</v>
      </c>
      <c r="B189" s="19" t="s">
        <v>236</v>
      </c>
      <c r="C189" s="27">
        <v>3</v>
      </c>
      <c r="D189" s="26" t="s">
        <v>89</v>
      </c>
    </row>
    <row r="190" spans="1:4" ht="18.75" x14ac:dyDescent="0.3">
      <c r="A190" s="18" t="s">
        <v>42</v>
      </c>
      <c r="B190" s="33" t="s">
        <v>237</v>
      </c>
      <c r="C190" s="22">
        <v>1</v>
      </c>
      <c r="D190" s="26" t="s">
        <v>89</v>
      </c>
    </row>
    <row r="191" spans="1:4" ht="18.75" x14ac:dyDescent="0.3">
      <c r="A191" s="18" t="s">
        <v>44</v>
      </c>
      <c r="B191" s="33" t="s">
        <v>238</v>
      </c>
      <c r="C191" s="27">
        <v>1</v>
      </c>
      <c r="D191" s="26" t="s">
        <v>89</v>
      </c>
    </row>
    <row r="192" spans="1:4" ht="18.75" x14ac:dyDescent="0.3">
      <c r="A192" s="18" t="s">
        <v>46</v>
      </c>
      <c r="B192" s="33" t="s">
        <v>239</v>
      </c>
      <c r="C192" s="27">
        <v>1</v>
      </c>
      <c r="D192" s="26" t="s">
        <v>89</v>
      </c>
    </row>
    <row r="193" spans="1:4" ht="18.75" x14ac:dyDescent="0.3">
      <c r="A193" s="18" t="s">
        <v>48</v>
      </c>
      <c r="B193" s="19" t="s">
        <v>240</v>
      </c>
      <c r="C193" s="27">
        <v>1</v>
      </c>
      <c r="D193" s="26" t="s">
        <v>89</v>
      </c>
    </row>
    <row r="194" spans="1:4" ht="18.75" x14ac:dyDescent="0.3">
      <c r="A194" s="18" t="s">
        <v>50</v>
      </c>
      <c r="B194" s="33" t="s">
        <v>241</v>
      </c>
      <c r="C194" s="22">
        <v>1</v>
      </c>
      <c r="D194" s="26" t="s">
        <v>89</v>
      </c>
    </row>
    <row r="195" spans="1:4" ht="18.75" x14ac:dyDescent="0.3">
      <c r="A195" s="18" t="s">
        <v>52</v>
      </c>
      <c r="B195" s="33" t="s">
        <v>242</v>
      </c>
      <c r="C195" s="22">
        <v>1</v>
      </c>
      <c r="D195" s="26" t="s">
        <v>89</v>
      </c>
    </row>
    <row r="196" spans="1:4" ht="18.75" x14ac:dyDescent="0.3">
      <c r="A196" s="18" t="s">
        <v>54</v>
      </c>
      <c r="B196" s="33" t="s">
        <v>243</v>
      </c>
      <c r="C196" s="22">
        <v>1</v>
      </c>
      <c r="D196" s="26" t="s">
        <v>89</v>
      </c>
    </row>
    <row r="197" spans="1:4" ht="18.75" x14ac:dyDescent="0.3">
      <c r="A197" s="18" t="s">
        <v>56</v>
      </c>
      <c r="B197" s="19" t="s">
        <v>244</v>
      </c>
      <c r="C197" s="27">
        <v>6</v>
      </c>
      <c r="D197" s="26" t="s">
        <v>89</v>
      </c>
    </row>
    <row r="198" spans="1:4" ht="18.75" x14ac:dyDescent="0.3">
      <c r="A198" s="18" t="s">
        <v>58</v>
      </c>
      <c r="B198" s="19" t="s">
        <v>245</v>
      </c>
      <c r="C198" s="27">
        <f>8*4</f>
        <v>32</v>
      </c>
      <c r="D198" s="26" t="s">
        <v>89</v>
      </c>
    </row>
    <row r="199" spans="1:4" ht="18.75" x14ac:dyDescent="0.3">
      <c r="A199" s="18" t="s">
        <v>60</v>
      </c>
      <c r="B199" s="19" t="s">
        <v>246</v>
      </c>
      <c r="C199" s="27">
        <v>9</v>
      </c>
      <c r="D199" s="26" t="s">
        <v>89</v>
      </c>
    </row>
    <row r="200" spans="1:4" ht="37.5" x14ac:dyDescent="0.25">
      <c r="A200" s="18" t="s">
        <v>62</v>
      </c>
      <c r="B200" s="21" t="s">
        <v>247</v>
      </c>
      <c r="C200" s="22">
        <f>(((2.5+1.98+5.33)*3)*0.6)*1.15</f>
        <v>20.306699999999996</v>
      </c>
      <c r="D200" s="23" t="s">
        <v>70</v>
      </c>
    </row>
    <row r="201" spans="1:4" ht="18.75" x14ac:dyDescent="0.3">
      <c r="A201" s="18" t="s">
        <v>64</v>
      </c>
      <c r="B201" s="19" t="s">
        <v>248</v>
      </c>
      <c r="C201" s="27">
        <v>3</v>
      </c>
      <c r="D201" s="26" t="s">
        <v>89</v>
      </c>
    </row>
    <row r="202" spans="1:4" ht="18.75" x14ac:dyDescent="0.3">
      <c r="A202" s="18"/>
      <c r="B202" s="19"/>
      <c r="C202" s="27"/>
      <c r="D202" s="26"/>
    </row>
    <row r="203" spans="1:4" ht="18.75" x14ac:dyDescent="0.3">
      <c r="A203" s="8" t="s">
        <v>249</v>
      </c>
      <c r="B203" s="30" t="s">
        <v>250</v>
      </c>
      <c r="C203" s="31"/>
      <c r="D203" s="32"/>
    </row>
    <row r="204" spans="1:4" ht="18.75" x14ac:dyDescent="0.3">
      <c r="A204" s="18" t="s">
        <v>17</v>
      </c>
      <c r="B204" s="19" t="s">
        <v>251</v>
      </c>
      <c r="C204" s="27">
        <f>55.32*1.1</f>
        <v>60.852000000000004</v>
      </c>
      <c r="D204" s="23" t="s">
        <v>70</v>
      </c>
    </row>
    <row r="205" spans="1:4" ht="18.75" x14ac:dyDescent="0.3">
      <c r="A205" s="18" t="s">
        <v>20</v>
      </c>
      <c r="B205" s="19" t="s">
        <v>252</v>
      </c>
      <c r="C205" s="27">
        <v>20</v>
      </c>
      <c r="D205" s="23" t="s">
        <v>89</v>
      </c>
    </row>
    <row r="206" spans="1:4" ht="18.75" x14ac:dyDescent="0.3">
      <c r="A206" s="18" t="s">
        <v>22</v>
      </c>
      <c r="B206" s="19" t="s">
        <v>253</v>
      </c>
      <c r="C206" s="27">
        <f>+(96.11*13)*1.05</f>
        <v>1311.9015000000002</v>
      </c>
      <c r="D206" s="23" t="s">
        <v>70</v>
      </c>
    </row>
    <row r="207" spans="1:4" ht="18.75" x14ac:dyDescent="0.25">
      <c r="A207" s="18" t="s">
        <v>24</v>
      </c>
      <c r="B207" s="33" t="s">
        <v>254</v>
      </c>
      <c r="C207" s="22">
        <v>60</v>
      </c>
      <c r="D207" s="23" t="s">
        <v>89</v>
      </c>
    </row>
    <row r="208" spans="1:4" ht="18.75" x14ac:dyDescent="0.3">
      <c r="A208" s="18" t="s">
        <v>27</v>
      </c>
      <c r="B208" s="19" t="s">
        <v>255</v>
      </c>
      <c r="C208" s="27">
        <v>2</v>
      </c>
      <c r="D208" s="26" t="s">
        <v>256</v>
      </c>
    </row>
    <row r="209" spans="1:4" ht="18.75" x14ac:dyDescent="0.3">
      <c r="A209" s="18" t="s">
        <v>36</v>
      </c>
      <c r="B209" s="19" t="s">
        <v>257</v>
      </c>
      <c r="C209" s="27">
        <v>1</v>
      </c>
      <c r="D209" s="26" t="s">
        <v>89</v>
      </c>
    </row>
    <row r="210" spans="1:4" ht="37.5" x14ac:dyDescent="0.25">
      <c r="A210" s="18" t="s">
        <v>42</v>
      </c>
      <c r="B210" s="21" t="s">
        <v>258</v>
      </c>
      <c r="C210" s="22">
        <v>1</v>
      </c>
      <c r="D210" s="25" t="s">
        <v>89</v>
      </c>
    </row>
    <row r="211" spans="1:4" ht="18.75" x14ac:dyDescent="0.3">
      <c r="A211" s="18" t="s">
        <v>44</v>
      </c>
      <c r="B211" s="19" t="s">
        <v>259</v>
      </c>
      <c r="C211" s="27">
        <v>2</v>
      </c>
      <c r="D211" s="26" t="s">
        <v>89</v>
      </c>
    </row>
    <row r="212" spans="1:4" ht="18.75" x14ac:dyDescent="0.3">
      <c r="A212" s="18" t="s">
        <v>46</v>
      </c>
      <c r="B212" s="19" t="s">
        <v>260</v>
      </c>
      <c r="C212" s="27">
        <v>1</v>
      </c>
      <c r="D212" s="26" t="s">
        <v>89</v>
      </c>
    </row>
    <row r="213" spans="1:4" ht="37.5" x14ac:dyDescent="0.25">
      <c r="A213" s="18" t="s">
        <v>48</v>
      </c>
      <c r="B213" s="21" t="s">
        <v>261</v>
      </c>
      <c r="C213" s="22">
        <v>4</v>
      </c>
      <c r="D213" s="25" t="s">
        <v>89</v>
      </c>
    </row>
    <row r="214" spans="1:4" ht="18.75" x14ac:dyDescent="0.3">
      <c r="A214" s="18"/>
      <c r="B214" s="19"/>
      <c r="C214" s="27"/>
      <c r="D214" s="26"/>
    </row>
    <row r="215" spans="1:4" ht="18.75" x14ac:dyDescent="0.3">
      <c r="A215" s="18"/>
      <c r="B215" s="19"/>
      <c r="C215" s="27"/>
      <c r="D215" s="26"/>
    </row>
    <row r="216" spans="1:4" ht="18.75" x14ac:dyDescent="0.3">
      <c r="A216" s="34"/>
      <c r="B216" s="77" t="s">
        <v>262</v>
      </c>
      <c r="C216" s="77"/>
      <c r="D216" s="77"/>
    </row>
    <row r="217" spans="1:4" ht="18.75" x14ac:dyDescent="0.25">
      <c r="A217" s="8"/>
      <c r="B217" s="35"/>
      <c r="C217" s="10"/>
      <c r="D217" s="10"/>
    </row>
    <row r="218" spans="1:4" ht="18.75" x14ac:dyDescent="0.3">
      <c r="A218" s="8" t="s">
        <v>263</v>
      </c>
      <c r="B218" s="15" t="s">
        <v>264</v>
      </c>
      <c r="C218" s="36"/>
      <c r="D218" s="37"/>
    </row>
    <row r="219" spans="1:4" ht="18" customHeight="1" x14ac:dyDescent="0.3">
      <c r="A219" s="8" t="s">
        <v>15</v>
      </c>
      <c r="B219" s="15" t="s">
        <v>265</v>
      </c>
      <c r="C219" s="16"/>
      <c r="D219" s="17"/>
    </row>
    <row r="220" spans="1:4" ht="18.75" x14ac:dyDescent="0.3">
      <c r="A220" s="18" t="s">
        <v>17</v>
      </c>
      <c r="B220" s="38" t="s">
        <v>266</v>
      </c>
      <c r="C220" s="27">
        <f>14.05*1.05</f>
        <v>14.752500000000001</v>
      </c>
      <c r="D220" s="26" t="s">
        <v>70</v>
      </c>
    </row>
    <row r="221" spans="1:4" ht="18.75" x14ac:dyDescent="0.3">
      <c r="A221" s="18" t="s">
        <v>20</v>
      </c>
      <c r="B221" s="38" t="s">
        <v>267</v>
      </c>
      <c r="C221" s="27">
        <f>52.43*1.05</f>
        <v>55.051500000000004</v>
      </c>
      <c r="D221" s="26" t="s">
        <v>70</v>
      </c>
    </row>
    <row r="222" spans="1:4" ht="18.75" x14ac:dyDescent="0.3">
      <c r="A222" s="18" t="s">
        <v>22</v>
      </c>
      <c r="B222" s="38" t="s">
        <v>268</v>
      </c>
      <c r="C222" s="27">
        <f>112.56*1.05</f>
        <v>118.188</v>
      </c>
      <c r="D222" s="26" t="s">
        <v>70</v>
      </c>
    </row>
    <row r="223" spans="1:4" ht="18.75" x14ac:dyDescent="0.3">
      <c r="A223" s="18" t="s">
        <v>24</v>
      </c>
      <c r="B223" s="38" t="s">
        <v>28</v>
      </c>
      <c r="C223" s="27">
        <f>+(((C220*0.2)+(C221*0.15)+(C222*0.1))*1.35)+(60.01*0.1)</f>
        <v>37.087483750000004</v>
      </c>
      <c r="D223" s="26" t="s">
        <v>70</v>
      </c>
    </row>
    <row r="224" spans="1:4" ht="18.75" x14ac:dyDescent="0.3">
      <c r="A224" s="18" t="s">
        <v>27</v>
      </c>
      <c r="B224" s="38" t="s">
        <v>269</v>
      </c>
      <c r="C224" s="27">
        <v>95</v>
      </c>
      <c r="D224" s="26" t="s">
        <v>73</v>
      </c>
    </row>
    <row r="225" spans="1:4" ht="18.75" x14ac:dyDescent="0.3">
      <c r="A225" s="18" t="s">
        <v>36</v>
      </c>
      <c r="B225" s="38" t="s">
        <v>270</v>
      </c>
      <c r="C225" s="22">
        <f>+(244.92+55.12)*1.05</f>
        <v>315.04199999999997</v>
      </c>
      <c r="D225" s="26" t="s">
        <v>70</v>
      </c>
    </row>
    <row r="226" spans="1:4" ht="18.75" x14ac:dyDescent="0.3">
      <c r="A226" s="18" t="s">
        <v>42</v>
      </c>
      <c r="B226" s="38" t="s">
        <v>271</v>
      </c>
      <c r="C226" s="27">
        <f>+((7.38+8.82+8.09+12.02+8.7+8.86+12.55+8.25+6.45+11.34)*4*0.6)+(3.32+4.73+4.4+8.82+4.73+4.87+3.95+8.81+4.11+6.1+2.51)</f>
        <v>278.25400000000002</v>
      </c>
      <c r="D226" s="26" t="s">
        <v>70</v>
      </c>
    </row>
    <row r="227" spans="1:4" ht="18.75" x14ac:dyDescent="0.3">
      <c r="A227" s="18" t="s">
        <v>44</v>
      </c>
      <c r="B227" s="38" t="s">
        <v>272</v>
      </c>
      <c r="C227" s="27">
        <v>14</v>
      </c>
      <c r="D227" s="26" t="s">
        <v>89</v>
      </c>
    </row>
    <row r="228" spans="1:4" ht="18.75" x14ac:dyDescent="0.3">
      <c r="A228" s="18" t="s">
        <v>46</v>
      </c>
      <c r="B228" s="38" t="s">
        <v>273</v>
      </c>
      <c r="C228" s="27">
        <v>14</v>
      </c>
      <c r="D228" s="26" t="s">
        <v>89</v>
      </c>
    </row>
    <row r="229" spans="1:4" ht="18.75" x14ac:dyDescent="0.3">
      <c r="A229" s="18"/>
      <c r="B229" s="38"/>
      <c r="C229" s="27"/>
      <c r="D229" s="26"/>
    </row>
    <row r="230" spans="1:4" ht="18.75" x14ac:dyDescent="0.3">
      <c r="A230" s="8" t="s">
        <v>29</v>
      </c>
      <c r="B230" s="15" t="s">
        <v>274</v>
      </c>
      <c r="C230" s="27"/>
      <c r="D230" s="26"/>
    </row>
    <row r="231" spans="1:4" ht="18.75" x14ac:dyDescent="0.3">
      <c r="A231" s="18" t="s">
        <v>17</v>
      </c>
      <c r="B231" s="38" t="s">
        <v>275</v>
      </c>
      <c r="C231" s="27">
        <v>5</v>
      </c>
      <c r="D231" s="26" t="s">
        <v>89</v>
      </c>
    </row>
    <row r="232" spans="1:4" ht="18.75" x14ac:dyDescent="0.3">
      <c r="A232" s="18" t="s">
        <v>20</v>
      </c>
      <c r="B232" s="38" t="s">
        <v>276</v>
      </c>
      <c r="C232" s="27">
        <v>3</v>
      </c>
      <c r="D232" s="26" t="s">
        <v>89</v>
      </c>
    </row>
    <row r="233" spans="1:4" ht="18.75" x14ac:dyDescent="0.3">
      <c r="A233" s="18" t="s">
        <v>22</v>
      </c>
      <c r="B233" s="38" t="s">
        <v>277</v>
      </c>
      <c r="C233" s="27">
        <v>80</v>
      </c>
      <c r="D233" s="26" t="s">
        <v>73</v>
      </c>
    </row>
    <row r="234" spans="1:4" ht="18.75" x14ac:dyDescent="0.3">
      <c r="A234" s="18"/>
      <c r="B234" s="38"/>
      <c r="C234" s="27"/>
      <c r="D234" s="26"/>
    </row>
    <row r="235" spans="1:4" ht="18.75" x14ac:dyDescent="0.3">
      <c r="A235" s="8" t="s">
        <v>74</v>
      </c>
      <c r="B235" s="15" t="s">
        <v>278</v>
      </c>
      <c r="C235" s="27"/>
      <c r="D235" s="26"/>
    </row>
    <row r="236" spans="1:4" ht="37.5" x14ac:dyDescent="0.25">
      <c r="A236" s="18" t="s">
        <v>17</v>
      </c>
      <c r="B236" s="39" t="s">
        <v>279</v>
      </c>
      <c r="C236" s="22">
        <f>+(244.92+55.12)*0.2</f>
        <v>60.007999999999996</v>
      </c>
      <c r="D236" s="25" t="s">
        <v>70</v>
      </c>
    </row>
    <row r="237" spans="1:4" ht="18.75" x14ac:dyDescent="0.3">
      <c r="A237" s="18"/>
      <c r="B237" s="38"/>
      <c r="C237" s="27"/>
      <c r="D237" s="26"/>
    </row>
    <row r="238" spans="1:4" ht="18.75" x14ac:dyDescent="0.3">
      <c r="A238" s="18"/>
      <c r="B238" s="77" t="s">
        <v>280</v>
      </c>
      <c r="C238" s="77"/>
      <c r="D238" s="77"/>
    </row>
    <row r="239" spans="1:4" ht="18.75" x14ac:dyDescent="0.3">
      <c r="A239" s="8"/>
      <c r="B239" s="15"/>
      <c r="C239" s="36"/>
      <c r="D239" s="37"/>
    </row>
    <row r="240" spans="1:4" ht="18.75" x14ac:dyDescent="0.3">
      <c r="A240" s="8" t="s">
        <v>281</v>
      </c>
      <c r="B240" s="15" t="s">
        <v>282</v>
      </c>
      <c r="C240" s="36"/>
      <c r="D240" s="37"/>
    </row>
    <row r="241" spans="1:4" ht="18" customHeight="1" x14ac:dyDescent="0.3">
      <c r="A241" s="8" t="s">
        <v>29</v>
      </c>
      <c r="B241" s="15" t="s">
        <v>75</v>
      </c>
      <c r="C241" s="16"/>
      <c r="D241" s="17"/>
    </row>
    <row r="242" spans="1:4" ht="15.75" customHeight="1" x14ac:dyDescent="0.3">
      <c r="A242" s="18" t="s">
        <v>17</v>
      </c>
      <c r="B242" s="38" t="s">
        <v>283</v>
      </c>
      <c r="C242" s="27">
        <f>15.68*1.1</f>
        <v>17.248000000000001</v>
      </c>
      <c r="D242" s="26" t="s">
        <v>70</v>
      </c>
    </row>
    <row r="243" spans="1:4" ht="18.75" x14ac:dyDescent="0.3">
      <c r="A243" s="18" t="s">
        <v>20</v>
      </c>
      <c r="B243" s="38" t="s">
        <v>284</v>
      </c>
      <c r="C243" s="27">
        <f>+C242</f>
        <v>17.248000000000001</v>
      </c>
      <c r="D243" s="26" t="s">
        <v>70</v>
      </c>
    </row>
    <row r="244" spans="1:4" ht="16.5" customHeight="1" x14ac:dyDescent="0.3">
      <c r="A244" s="18" t="s">
        <v>22</v>
      </c>
      <c r="B244" s="38" t="s">
        <v>285</v>
      </c>
      <c r="C244" s="27">
        <f>82.22*1.1</f>
        <v>90.442000000000007</v>
      </c>
      <c r="D244" s="26" t="s">
        <v>70</v>
      </c>
    </row>
    <row r="245" spans="1:4" ht="12.75" customHeight="1" x14ac:dyDescent="0.3">
      <c r="A245" s="2"/>
      <c r="B245" s="36"/>
      <c r="C245" s="27"/>
      <c r="D245" s="17"/>
    </row>
    <row r="246" spans="1:4" ht="18.75" x14ac:dyDescent="0.3">
      <c r="A246" s="8" t="s">
        <v>74</v>
      </c>
      <c r="B246" s="15" t="s">
        <v>286</v>
      </c>
      <c r="C246" s="27"/>
      <c r="D246" s="17"/>
    </row>
    <row r="247" spans="1:4" ht="15" customHeight="1" x14ac:dyDescent="0.3">
      <c r="A247" s="18" t="s">
        <v>17</v>
      </c>
      <c r="B247" s="19" t="s">
        <v>93</v>
      </c>
      <c r="C247" s="27">
        <f>87.48*1.1</f>
        <v>96.228000000000009</v>
      </c>
      <c r="D247" s="26" t="s">
        <v>70</v>
      </c>
    </row>
    <row r="248" spans="1:4" ht="18.75" x14ac:dyDescent="0.3">
      <c r="A248" s="18" t="s">
        <v>20</v>
      </c>
      <c r="B248" s="19" t="s">
        <v>94</v>
      </c>
      <c r="C248" s="27">
        <f>11.11*1.1</f>
        <v>12.221</v>
      </c>
      <c r="D248" s="26" t="s">
        <v>70</v>
      </c>
    </row>
    <row r="249" spans="1:4" ht="18" customHeight="1" x14ac:dyDescent="0.3">
      <c r="A249" s="18" t="s">
        <v>22</v>
      </c>
      <c r="B249" s="19" t="s">
        <v>95</v>
      </c>
      <c r="C249" s="27">
        <f>75.41*1.15</f>
        <v>86.721499999999992</v>
      </c>
      <c r="D249" s="26" t="s">
        <v>73</v>
      </c>
    </row>
    <row r="250" spans="1:4" ht="18" customHeight="1" x14ac:dyDescent="0.3">
      <c r="A250" s="18" t="s">
        <v>24</v>
      </c>
      <c r="B250" s="19" t="s">
        <v>96</v>
      </c>
      <c r="C250" s="27">
        <f>45.05*1.1</f>
        <v>49.555</v>
      </c>
      <c r="D250" s="26" t="s">
        <v>70</v>
      </c>
    </row>
    <row r="251" spans="1:4" ht="16.5" customHeight="1" x14ac:dyDescent="0.3">
      <c r="A251" s="18" t="s">
        <v>27</v>
      </c>
      <c r="B251" s="19" t="s">
        <v>97</v>
      </c>
      <c r="C251" s="27">
        <f>8.15*1.1</f>
        <v>8.9650000000000016</v>
      </c>
      <c r="D251" s="26" t="s">
        <v>70</v>
      </c>
    </row>
    <row r="252" spans="1:4" ht="12.75" customHeight="1" x14ac:dyDescent="0.3">
      <c r="A252" s="2"/>
      <c r="B252" s="36"/>
      <c r="C252" s="27"/>
      <c r="D252" s="17"/>
    </row>
    <row r="253" spans="1:4" ht="18.75" x14ac:dyDescent="0.3">
      <c r="A253" s="8" t="s">
        <v>91</v>
      </c>
      <c r="B253" s="15" t="s">
        <v>114</v>
      </c>
      <c r="C253" s="27"/>
      <c r="D253" s="17"/>
    </row>
    <row r="254" spans="1:4" ht="18.75" x14ac:dyDescent="0.3">
      <c r="A254" s="18" t="s">
        <v>17</v>
      </c>
      <c r="B254" s="19" t="s">
        <v>287</v>
      </c>
      <c r="C254" s="27">
        <f>+C250</f>
        <v>49.555</v>
      </c>
      <c r="D254" s="20" t="s">
        <v>70</v>
      </c>
    </row>
    <row r="255" spans="1:4" ht="18.75" x14ac:dyDescent="0.3">
      <c r="A255" s="18" t="s">
        <v>20</v>
      </c>
      <c r="B255" s="19" t="s">
        <v>288</v>
      </c>
      <c r="C255" s="27">
        <f>+(37.42+65.77)*1.1</f>
        <v>113.509</v>
      </c>
      <c r="D255" s="20" t="s">
        <v>70</v>
      </c>
    </row>
    <row r="256" spans="1:4" ht="18" customHeight="1" x14ac:dyDescent="0.3">
      <c r="A256" s="18" t="s">
        <v>22</v>
      </c>
      <c r="B256" s="19" t="s">
        <v>118</v>
      </c>
      <c r="C256" s="27">
        <f>(37.42+64.8+45.05)*1.1</f>
        <v>161.99699999999999</v>
      </c>
      <c r="D256" s="20" t="s">
        <v>70</v>
      </c>
    </row>
    <row r="257" spans="1:4" ht="18.75" customHeight="1" x14ac:dyDescent="0.3">
      <c r="A257" s="18" t="s">
        <v>24</v>
      </c>
      <c r="B257" s="19" t="s">
        <v>119</v>
      </c>
      <c r="C257" s="27">
        <f>+(65.77+90.72)*1.1</f>
        <v>172.13900000000001</v>
      </c>
      <c r="D257" s="20" t="s">
        <v>70</v>
      </c>
    </row>
    <row r="258" spans="1:4" ht="17.25" customHeight="1" x14ac:dyDescent="0.3">
      <c r="A258" s="18" t="s">
        <v>27</v>
      </c>
      <c r="B258" s="19" t="s">
        <v>120</v>
      </c>
      <c r="C258" s="27">
        <f>+(11.11+75.41)*1.1</f>
        <v>95.171999999999997</v>
      </c>
      <c r="D258" s="20" t="s">
        <v>70</v>
      </c>
    </row>
    <row r="259" spans="1:4" ht="17.25" customHeight="1" x14ac:dyDescent="0.3">
      <c r="A259" s="18"/>
      <c r="B259" s="19"/>
      <c r="C259" s="27"/>
      <c r="D259" s="20"/>
    </row>
    <row r="260" spans="1:4" ht="18.75" x14ac:dyDescent="0.3">
      <c r="A260" s="8" t="s">
        <v>100</v>
      </c>
      <c r="B260" s="15" t="s">
        <v>129</v>
      </c>
      <c r="C260" s="27"/>
      <c r="D260" s="17"/>
    </row>
    <row r="261" spans="1:4" ht="18.75" customHeight="1" x14ac:dyDescent="0.25">
      <c r="A261" s="18" t="s">
        <v>17</v>
      </c>
      <c r="B261" s="21" t="s">
        <v>130</v>
      </c>
      <c r="C261" s="22">
        <f>211.5*1.1</f>
        <v>232.65</v>
      </c>
      <c r="D261" s="23" t="s">
        <v>131</v>
      </c>
    </row>
    <row r="262" spans="1:4" ht="18.75" customHeight="1" x14ac:dyDescent="0.25">
      <c r="A262" s="18" t="s">
        <v>20</v>
      </c>
      <c r="B262" s="21" t="s">
        <v>132</v>
      </c>
      <c r="C262" s="22">
        <f>11.19*1.1</f>
        <v>12.309000000000001</v>
      </c>
      <c r="D262" s="23" t="s">
        <v>131</v>
      </c>
    </row>
    <row r="263" spans="1:4" ht="16.5" customHeight="1" x14ac:dyDescent="0.25">
      <c r="A263" s="18" t="s">
        <v>22</v>
      </c>
      <c r="B263" s="21" t="s">
        <v>289</v>
      </c>
      <c r="C263" s="22">
        <v>5</v>
      </c>
      <c r="D263" s="25" t="s">
        <v>89</v>
      </c>
    </row>
    <row r="264" spans="1:4" ht="18" customHeight="1" x14ac:dyDescent="0.3">
      <c r="A264" s="18" t="s">
        <v>24</v>
      </c>
      <c r="B264" s="19" t="s">
        <v>144</v>
      </c>
      <c r="C264" s="27">
        <v>5</v>
      </c>
      <c r="D264" s="26" t="s">
        <v>89</v>
      </c>
    </row>
    <row r="265" spans="1:4" ht="18" customHeight="1" x14ac:dyDescent="0.3">
      <c r="A265" s="18" t="s">
        <v>27</v>
      </c>
      <c r="B265" s="19" t="s">
        <v>145</v>
      </c>
      <c r="C265" s="27">
        <v>5</v>
      </c>
      <c r="D265" s="26" t="s">
        <v>89</v>
      </c>
    </row>
    <row r="266" spans="1:4" ht="15.75" customHeight="1" x14ac:dyDescent="0.3">
      <c r="A266" s="18" t="s">
        <v>36</v>
      </c>
      <c r="B266" s="19" t="s">
        <v>146</v>
      </c>
      <c r="C266" s="27">
        <v>5</v>
      </c>
      <c r="D266" s="26" t="s">
        <v>89</v>
      </c>
    </row>
    <row r="267" spans="1:4" ht="15.75" customHeight="1" x14ac:dyDescent="0.3">
      <c r="A267" s="18" t="s">
        <v>42</v>
      </c>
      <c r="B267" s="19" t="s">
        <v>290</v>
      </c>
      <c r="C267" s="27">
        <f>+(C261+(1.89*8))*1.05</f>
        <v>260.1585</v>
      </c>
      <c r="D267" s="23" t="s">
        <v>131</v>
      </c>
    </row>
    <row r="268" spans="1:4" ht="12.75" customHeight="1" x14ac:dyDescent="0.3">
      <c r="A268" s="2"/>
      <c r="B268" s="36"/>
      <c r="C268" s="27"/>
      <c r="D268" s="17"/>
    </row>
    <row r="269" spans="1:4" ht="18.75" x14ac:dyDescent="0.3">
      <c r="A269" s="8" t="s">
        <v>128</v>
      </c>
      <c r="B269" s="15" t="s">
        <v>178</v>
      </c>
      <c r="C269" s="27"/>
      <c r="D269" s="17"/>
    </row>
    <row r="270" spans="1:4" ht="15" customHeight="1" x14ac:dyDescent="0.3">
      <c r="A270" s="18" t="s">
        <v>17</v>
      </c>
      <c r="B270" s="19" t="s">
        <v>291</v>
      </c>
      <c r="C270" s="27">
        <v>6</v>
      </c>
      <c r="D270" s="26" t="s">
        <v>89</v>
      </c>
    </row>
    <row r="271" spans="1:4" ht="17.25" customHeight="1" x14ac:dyDescent="0.3">
      <c r="A271" s="18" t="s">
        <v>20</v>
      </c>
      <c r="B271" s="19" t="s">
        <v>180</v>
      </c>
      <c r="C271" s="27">
        <v>1</v>
      </c>
      <c r="D271" s="26" t="s">
        <v>89</v>
      </c>
    </row>
    <row r="272" spans="1:4" ht="17.25" customHeight="1" x14ac:dyDescent="0.3">
      <c r="A272" s="18" t="s">
        <v>22</v>
      </c>
      <c r="B272" s="19" t="s">
        <v>292</v>
      </c>
      <c r="C272" s="27">
        <v>16</v>
      </c>
      <c r="D272" s="26" t="s">
        <v>89</v>
      </c>
    </row>
    <row r="273" spans="1:4" ht="16.5" customHeight="1" x14ac:dyDescent="0.3">
      <c r="A273" s="18" t="s">
        <v>24</v>
      </c>
      <c r="B273" s="19" t="s">
        <v>186</v>
      </c>
      <c r="C273" s="27">
        <v>3</v>
      </c>
      <c r="D273" s="26" t="s">
        <v>89</v>
      </c>
    </row>
    <row r="274" spans="1:4" ht="18" customHeight="1" x14ac:dyDescent="0.3">
      <c r="A274" s="18" t="s">
        <v>27</v>
      </c>
      <c r="B274" s="19" t="s">
        <v>187</v>
      </c>
      <c r="C274" s="27">
        <v>2</v>
      </c>
      <c r="D274" s="26" t="s">
        <v>89</v>
      </c>
    </row>
    <row r="275" spans="1:4" ht="18.75" x14ac:dyDescent="0.3">
      <c r="A275" s="2" t="s">
        <v>36</v>
      </c>
      <c r="B275" s="36" t="s">
        <v>293</v>
      </c>
      <c r="C275" s="27">
        <v>5</v>
      </c>
      <c r="D275" s="26" t="s">
        <v>89</v>
      </c>
    </row>
    <row r="276" spans="1:4" ht="18.75" x14ac:dyDescent="0.3">
      <c r="A276" s="40" t="s">
        <v>42</v>
      </c>
      <c r="B276" s="36" t="s">
        <v>294</v>
      </c>
      <c r="C276" s="27">
        <v>2</v>
      </c>
      <c r="D276" s="26" t="s">
        <v>89</v>
      </c>
    </row>
    <row r="277" spans="1:4" ht="12.75" customHeight="1" x14ac:dyDescent="0.3">
      <c r="A277" s="34"/>
      <c r="B277" s="32"/>
      <c r="C277" s="16"/>
      <c r="D277" s="17"/>
    </row>
    <row r="278" spans="1:4" ht="16.5" customHeight="1" x14ac:dyDescent="0.3">
      <c r="A278" s="34"/>
      <c r="B278" s="77" t="s">
        <v>295</v>
      </c>
      <c r="C278" s="77"/>
      <c r="D278" s="77"/>
    </row>
    <row r="279" spans="1:4" ht="16.5" customHeight="1" x14ac:dyDescent="0.3">
      <c r="A279" s="34"/>
      <c r="B279" s="41"/>
      <c r="C279" s="42"/>
      <c r="D279" s="42"/>
    </row>
    <row r="280" spans="1:4" ht="16.5" customHeight="1" x14ac:dyDescent="0.3">
      <c r="A280" s="8" t="s">
        <v>281</v>
      </c>
      <c r="B280" s="15" t="s">
        <v>296</v>
      </c>
      <c r="C280" s="36"/>
      <c r="D280" s="37"/>
    </row>
    <row r="281" spans="1:4" ht="16.5" customHeight="1" x14ac:dyDescent="0.3">
      <c r="A281" s="8" t="s">
        <v>15</v>
      </c>
      <c r="B281" s="15" t="s">
        <v>286</v>
      </c>
      <c r="C281" s="27"/>
      <c r="D281" s="17"/>
    </row>
    <row r="282" spans="1:4" ht="16.5" customHeight="1" x14ac:dyDescent="0.3">
      <c r="A282" s="18" t="s">
        <v>17</v>
      </c>
      <c r="B282" s="19" t="s">
        <v>93</v>
      </c>
      <c r="C282" s="27">
        <f>59.16*1.1</f>
        <v>65.076000000000008</v>
      </c>
      <c r="D282" s="26" t="s">
        <v>70</v>
      </c>
    </row>
    <row r="283" spans="1:4" ht="16.5" customHeight="1" x14ac:dyDescent="0.3">
      <c r="A283" s="18" t="s">
        <v>20</v>
      </c>
      <c r="B283" s="19" t="s">
        <v>94</v>
      </c>
      <c r="C283" s="27">
        <f>10.46*1.1</f>
        <v>11.506000000000002</v>
      </c>
      <c r="D283" s="26" t="s">
        <v>70</v>
      </c>
    </row>
    <row r="284" spans="1:4" ht="16.5" customHeight="1" x14ac:dyDescent="0.3">
      <c r="A284" s="18" t="s">
        <v>22</v>
      </c>
      <c r="B284" s="19" t="s">
        <v>95</v>
      </c>
      <c r="C284" s="27">
        <f>201.2*1.1</f>
        <v>221.32</v>
      </c>
      <c r="D284" s="26" t="s">
        <v>73</v>
      </c>
    </row>
    <row r="285" spans="1:4" ht="16.5" customHeight="1" x14ac:dyDescent="0.3">
      <c r="A285" s="18" t="s">
        <v>24</v>
      </c>
      <c r="B285" s="19" t="s">
        <v>96</v>
      </c>
      <c r="C285" s="27">
        <f>40.71*1.25</f>
        <v>50.887500000000003</v>
      </c>
      <c r="D285" s="26" t="s">
        <v>70</v>
      </c>
    </row>
    <row r="286" spans="1:4" ht="16.5" customHeight="1" x14ac:dyDescent="0.3">
      <c r="A286" s="2"/>
      <c r="B286" s="36"/>
      <c r="C286" s="27"/>
      <c r="D286" s="17"/>
    </row>
    <row r="287" spans="1:4" ht="16.5" customHeight="1" x14ac:dyDescent="0.3">
      <c r="A287" s="8" t="s">
        <v>29</v>
      </c>
      <c r="B287" s="15" t="s">
        <v>114</v>
      </c>
      <c r="C287" s="27"/>
      <c r="D287" s="17"/>
    </row>
    <row r="288" spans="1:4" ht="16.5" customHeight="1" x14ac:dyDescent="0.3">
      <c r="A288" s="18" t="s">
        <v>17</v>
      </c>
      <c r="B288" s="19" t="s">
        <v>288</v>
      </c>
      <c r="C288" s="27">
        <f>+(48.09+61.21)*1.1</f>
        <v>120.23000000000002</v>
      </c>
      <c r="D288" s="20" t="s">
        <v>70</v>
      </c>
    </row>
    <row r="289" spans="1:4" ht="16.5" customHeight="1" x14ac:dyDescent="0.3">
      <c r="A289" s="18" t="s">
        <v>20</v>
      </c>
      <c r="B289" s="19" t="s">
        <v>118</v>
      </c>
      <c r="C289" s="27">
        <f>+(48.09+70.11)*1.1</f>
        <v>130.02000000000001</v>
      </c>
      <c r="D289" s="20" t="s">
        <v>70</v>
      </c>
    </row>
    <row r="290" spans="1:4" ht="16.5" customHeight="1" x14ac:dyDescent="0.3">
      <c r="A290" s="18" t="s">
        <v>22</v>
      </c>
      <c r="B290" s="19" t="s">
        <v>119</v>
      </c>
      <c r="C290" s="27">
        <f>+(61.21+61.35)*1.1</f>
        <v>134.816</v>
      </c>
      <c r="D290" s="20" t="s">
        <v>70</v>
      </c>
    </row>
    <row r="291" spans="1:4" ht="16.5" customHeight="1" x14ac:dyDescent="0.3">
      <c r="A291" s="18" t="s">
        <v>24</v>
      </c>
      <c r="B291" s="19" t="s">
        <v>120</v>
      </c>
      <c r="C291" s="27">
        <f>+(10.46+(201.2*0.65))*1.1</f>
        <v>155.36400000000003</v>
      </c>
      <c r="D291" s="20" t="s">
        <v>70</v>
      </c>
    </row>
    <row r="292" spans="1:4" ht="16.5" customHeight="1" x14ac:dyDescent="0.3">
      <c r="A292" s="18" t="s">
        <v>27</v>
      </c>
      <c r="B292" s="21" t="s">
        <v>121</v>
      </c>
      <c r="C292" s="27">
        <f>11.73*1.1</f>
        <v>12.903000000000002</v>
      </c>
      <c r="D292" s="20" t="s">
        <v>70</v>
      </c>
    </row>
    <row r="293" spans="1:4" ht="16.5" customHeight="1" x14ac:dyDescent="0.3">
      <c r="A293" s="18" t="s">
        <v>36</v>
      </c>
      <c r="B293" s="19" t="s">
        <v>287</v>
      </c>
      <c r="C293" s="27">
        <f>+C288</f>
        <v>120.23000000000002</v>
      </c>
      <c r="D293" s="20" t="s">
        <v>70</v>
      </c>
    </row>
    <row r="294" spans="1:4" ht="16.5" customHeight="1" x14ac:dyDescent="0.3">
      <c r="A294" s="2"/>
      <c r="B294" s="36"/>
      <c r="C294" s="27"/>
      <c r="D294" s="17"/>
    </row>
    <row r="295" spans="1:4" ht="16.5" customHeight="1" x14ac:dyDescent="0.3">
      <c r="A295" s="8" t="s">
        <v>74</v>
      </c>
      <c r="B295" s="15" t="s">
        <v>129</v>
      </c>
      <c r="C295" s="27"/>
      <c r="D295" s="17"/>
    </row>
    <row r="296" spans="1:4" ht="16.5" customHeight="1" x14ac:dyDescent="0.25">
      <c r="A296" s="18" t="s">
        <v>17</v>
      </c>
      <c r="B296" s="21" t="s">
        <v>297</v>
      </c>
      <c r="C296" s="22">
        <f>19.02*1.15</f>
        <v>21.872999999999998</v>
      </c>
      <c r="D296" s="23" t="s">
        <v>131</v>
      </c>
    </row>
    <row r="297" spans="1:4" ht="16.5" customHeight="1" x14ac:dyDescent="0.25">
      <c r="A297" s="18" t="s">
        <v>20</v>
      </c>
      <c r="B297" s="21" t="s">
        <v>289</v>
      </c>
      <c r="C297" s="22">
        <v>1</v>
      </c>
      <c r="D297" s="25" t="s">
        <v>89</v>
      </c>
    </row>
    <row r="298" spans="1:4" ht="16.5" customHeight="1" x14ac:dyDescent="0.25">
      <c r="A298" s="18" t="s">
        <v>22</v>
      </c>
      <c r="B298" s="21" t="s">
        <v>298</v>
      </c>
      <c r="C298" s="22">
        <v>3</v>
      </c>
      <c r="D298" s="25" t="s">
        <v>89</v>
      </c>
    </row>
    <row r="299" spans="1:4" ht="16.5" customHeight="1" x14ac:dyDescent="0.3">
      <c r="A299" s="18" t="s">
        <v>24</v>
      </c>
      <c r="B299" s="19" t="s">
        <v>144</v>
      </c>
      <c r="C299" s="27">
        <v>4</v>
      </c>
      <c r="D299" s="26" t="s">
        <v>89</v>
      </c>
    </row>
    <row r="300" spans="1:4" ht="16.5" customHeight="1" x14ac:dyDescent="0.3">
      <c r="A300" s="18" t="s">
        <v>27</v>
      </c>
      <c r="B300" s="19" t="s">
        <v>145</v>
      </c>
      <c r="C300" s="27">
        <v>4</v>
      </c>
      <c r="D300" s="26" t="s">
        <v>89</v>
      </c>
    </row>
    <row r="301" spans="1:4" ht="16.5" customHeight="1" x14ac:dyDescent="0.3">
      <c r="A301" s="18" t="s">
        <v>36</v>
      </c>
      <c r="B301" s="19" t="s">
        <v>146</v>
      </c>
      <c r="C301" s="27">
        <v>4</v>
      </c>
      <c r="D301" s="26" t="s">
        <v>89</v>
      </c>
    </row>
    <row r="302" spans="1:4" ht="16.5" customHeight="1" x14ac:dyDescent="0.3">
      <c r="A302" s="18" t="s">
        <v>42</v>
      </c>
      <c r="B302" s="19" t="s">
        <v>290</v>
      </c>
      <c r="C302" s="27">
        <f>+(C296+(1.89*3))*1.05</f>
        <v>28.92015</v>
      </c>
      <c r="D302" s="23" t="s">
        <v>131</v>
      </c>
    </row>
    <row r="303" spans="1:4" ht="16.5" customHeight="1" x14ac:dyDescent="0.3">
      <c r="A303" s="2"/>
      <c r="B303" s="36"/>
      <c r="C303" s="27"/>
      <c r="D303" s="17"/>
    </row>
    <row r="304" spans="1:4" ht="16.5" customHeight="1" x14ac:dyDescent="0.3">
      <c r="A304" s="8" t="s">
        <v>82</v>
      </c>
      <c r="B304" s="15" t="s">
        <v>178</v>
      </c>
      <c r="C304" s="27"/>
      <c r="D304" s="17"/>
    </row>
    <row r="305" spans="1:4" ht="16.5" customHeight="1" x14ac:dyDescent="0.3">
      <c r="A305" s="18" t="s">
        <v>17</v>
      </c>
      <c r="B305" s="19" t="s">
        <v>291</v>
      </c>
      <c r="C305" s="27">
        <v>6</v>
      </c>
      <c r="D305" s="26" t="s">
        <v>89</v>
      </c>
    </row>
    <row r="306" spans="1:4" ht="16.5" customHeight="1" x14ac:dyDescent="0.3">
      <c r="A306" s="18" t="s">
        <v>20</v>
      </c>
      <c r="B306" s="19" t="s">
        <v>180</v>
      </c>
      <c r="C306" s="27">
        <v>6</v>
      </c>
      <c r="D306" s="26" t="s">
        <v>89</v>
      </c>
    </row>
    <row r="307" spans="1:4" ht="16.5" customHeight="1" x14ac:dyDescent="0.3">
      <c r="A307" s="18" t="s">
        <v>22</v>
      </c>
      <c r="B307" s="19" t="s">
        <v>299</v>
      </c>
      <c r="C307" s="27">
        <v>9</v>
      </c>
      <c r="D307" s="26" t="s">
        <v>89</v>
      </c>
    </row>
    <row r="308" spans="1:4" ht="16.5" customHeight="1" x14ac:dyDescent="0.3">
      <c r="A308" s="18" t="s">
        <v>24</v>
      </c>
      <c r="B308" s="19" t="s">
        <v>186</v>
      </c>
      <c r="C308" s="27">
        <v>2</v>
      </c>
      <c r="D308" s="26" t="s">
        <v>89</v>
      </c>
    </row>
    <row r="309" spans="1:4" ht="16.5" customHeight="1" x14ac:dyDescent="0.3">
      <c r="A309" s="18" t="s">
        <v>27</v>
      </c>
      <c r="B309" s="19" t="s">
        <v>187</v>
      </c>
      <c r="C309" s="27">
        <v>2</v>
      </c>
      <c r="D309" s="26" t="s">
        <v>89</v>
      </c>
    </row>
    <row r="310" spans="1:4" ht="16.5" customHeight="1" x14ac:dyDescent="0.3">
      <c r="A310" s="2" t="s">
        <v>36</v>
      </c>
      <c r="B310" s="36" t="s">
        <v>293</v>
      </c>
      <c r="C310" s="27">
        <v>14</v>
      </c>
      <c r="D310" s="26" t="s">
        <v>89</v>
      </c>
    </row>
    <row r="311" spans="1:4" ht="16.5" customHeight="1" x14ac:dyDescent="0.3">
      <c r="A311" s="40" t="s">
        <v>42</v>
      </c>
      <c r="B311" s="36" t="s">
        <v>294</v>
      </c>
      <c r="C311" s="27">
        <v>10</v>
      </c>
      <c r="D311" s="26" t="s">
        <v>89</v>
      </c>
    </row>
    <row r="312" spans="1:4" ht="16.5" customHeight="1" x14ac:dyDescent="0.3">
      <c r="A312" s="40"/>
      <c r="B312" s="36"/>
      <c r="C312" s="27"/>
      <c r="D312" s="17"/>
    </row>
    <row r="313" spans="1:4" ht="16.5" customHeight="1" x14ac:dyDescent="0.3">
      <c r="A313" s="34"/>
      <c r="B313" s="77" t="s">
        <v>300</v>
      </c>
      <c r="C313" s="77"/>
      <c r="D313" s="77"/>
    </row>
    <row r="314" spans="1:4" ht="16.5" customHeight="1" x14ac:dyDescent="0.3">
      <c r="A314" s="18"/>
      <c r="B314" s="19"/>
      <c r="C314" s="13"/>
      <c r="D314" s="20"/>
    </row>
    <row r="315" spans="1:4" ht="16.5" customHeight="1" x14ac:dyDescent="0.3">
      <c r="A315" s="8" t="s">
        <v>301</v>
      </c>
      <c r="B315" s="15" t="s">
        <v>302</v>
      </c>
      <c r="C315" s="36"/>
      <c r="D315" s="37"/>
    </row>
    <row r="316" spans="1:4" ht="16.5" customHeight="1" x14ac:dyDescent="0.3">
      <c r="A316" s="8" t="s">
        <v>15</v>
      </c>
      <c r="B316" s="15" t="s">
        <v>75</v>
      </c>
      <c r="C316" s="36"/>
      <c r="D316" s="37"/>
    </row>
    <row r="317" spans="1:4" ht="16.5" customHeight="1" x14ac:dyDescent="0.3">
      <c r="A317" s="18" t="s">
        <v>17</v>
      </c>
      <c r="B317" s="38" t="s">
        <v>303</v>
      </c>
      <c r="C317" s="27">
        <f>152.22*1.1</f>
        <v>167.44200000000001</v>
      </c>
      <c r="D317" s="26" t="s">
        <v>70</v>
      </c>
    </row>
    <row r="318" spans="1:4" ht="16.5" customHeight="1" x14ac:dyDescent="0.3">
      <c r="A318" s="8"/>
      <c r="B318" s="15"/>
      <c r="C318" s="36"/>
      <c r="D318" s="37"/>
    </row>
    <row r="319" spans="1:4" ht="16.5" customHeight="1" x14ac:dyDescent="0.3">
      <c r="A319" s="8" t="s">
        <v>29</v>
      </c>
      <c r="B319" s="15" t="s">
        <v>286</v>
      </c>
      <c r="C319" s="27"/>
      <c r="D319" s="17"/>
    </row>
    <row r="320" spans="1:4" ht="18.75" x14ac:dyDescent="0.3">
      <c r="A320" s="18" t="s">
        <v>17</v>
      </c>
      <c r="B320" s="19" t="s">
        <v>93</v>
      </c>
      <c r="C320" s="27">
        <f>94.26*1.1</f>
        <v>103.68600000000001</v>
      </c>
      <c r="D320" s="26" t="s">
        <v>70</v>
      </c>
    </row>
    <row r="321" spans="1:4" ht="18.75" x14ac:dyDescent="0.3">
      <c r="A321" s="18" t="s">
        <v>20</v>
      </c>
      <c r="B321" s="19" t="s">
        <v>94</v>
      </c>
      <c r="C321" s="27">
        <f>30.91*1.1</f>
        <v>34.001000000000005</v>
      </c>
      <c r="D321" s="26" t="s">
        <v>70</v>
      </c>
    </row>
    <row r="322" spans="1:4" ht="18.75" x14ac:dyDescent="0.3">
      <c r="A322" s="18" t="s">
        <v>22</v>
      </c>
      <c r="B322" s="19" t="s">
        <v>95</v>
      </c>
      <c r="C322" s="27">
        <f>450.24*1.1</f>
        <v>495.26400000000007</v>
      </c>
      <c r="D322" s="26" t="s">
        <v>73</v>
      </c>
    </row>
    <row r="323" spans="1:4" ht="18.75" x14ac:dyDescent="0.3">
      <c r="A323" s="18" t="s">
        <v>24</v>
      </c>
      <c r="B323" s="19" t="s">
        <v>96</v>
      </c>
      <c r="C323" s="27">
        <f>97.77*1.1</f>
        <v>107.54700000000001</v>
      </c>
      <c r="D323" s="26" t="s">
        <v>70</v>
      </c>
    </row>
    <row r="324" spans="1:4" ht="16.5" customHeight="1" x14ac:dyDescent="0.3">
      <c r="A324" s="2" t="s">
        <v>27</v>
      </c>
      <c r="B324" s="19" t="s">
        <v>97</v>
      </c>
      <c r="C324" s="27">
        <f>5.16*1.1</f>
        <v>5.676000000000001</v>
      </c>
      <c r="D324" s="26" t="s">
        <v>70</v>
      </c>
    </row>
    <row r="325" spans="1:4" ht="16.5" customHeight="1" x14ac:dyDescent="0.3">
      <c r="A325" s="2"/>
      <c r="B325" s="19"/>
      <c r="C325" s="27"/>
      <c r="D325" s="26"/>
    </row>
    <row r="326" spans="1:4" ht="16.5" customHeight="1" x14ac:dyDescent="0.3">
      <c r="A326" s="8" t="s">
        <v>74</v>
      </c>
      <c r="B326" s="15" t="s">
        <v>114</v>
      </c>
      <c r="C326" s="27"/>
      <c r="D326" s="17"/>
    </row>
    <row r="327" spans="1:4" ht="16.5" customHeight="1" x14ac:dyDescent="0.3">
      <c r="A327" s="18" t="s">
        <v>17</v>
      </c>
      <c r="B327" s="19" t="s">
        <v>288</v>
      </c>
      <c r="C327" s="27">
        <f>+(86.98+121.77)*1.1</f>
        <v>229.62500000000003</v>
      </c>
      <c r="D327" s="20" t="s">
        <v>70</v>
      </c>
    </row>
    <row r="328" spans="1:4" ht="16.5" customHeight="1" x14ac:dyDescent="0.3">
      <c r="A328" s="18" t="s">
        <v>20</v>
      </c>
      <c r="B328" s="19" t="s">
        <v>118</v>
      </c>
      <c r="C328" s="27">
        <f>+(86.98+11.71+97.77)*1.1</f>
        <v>216.10599999999999</v>
      </c>
      <c r="D328" s="20" t="s">
        <v>70</v>
      </c>
    </row>
    <row r="329" spans="1:4" ht="18.75" x14ac:dyDescent="0.3">
      <c r="A329" s="18" t="s">
        <v>22</v>
      </c>
      <c r="B329" s="19" t="s">
        <v>119</v>
      </c>
      <c r="C329" s="27">
        <f>+(121.77+97.75)*1.1</f>
        <v>241.47200000000001</v>
      </c>
      <c r="D329" s="20" t="s">
        <v>70</v>
      </c>
    </row>
    <row r="330" spans="1:4" ht="18.75" x14ac:dyDescent="0.3">
      <c r="A330" s="18" t="s">
        <v>24</v>
      </c>
      <c r="B330" s="19" t="s">
        <v>120</v>
      </c>
      <c r="C330" s="27">
        <f>+(30.91+(450.24*0.8))*1.1</f>
        <v>430.21220000000005</v>
      </c>
      <c r="D330" s="20" t="s">
        <v>70</v>
      </c>
    </row>
    <row r="331" spans="1:4" ht="18.75" x14ac:dyDescent="0.3">
      <c r="A331" s="18" t="s">
        <v>27</v>
      </c>
      <c r="B331" s="21" t="s">
        <v>121</v>
      </c>
      <c r="C331" s="27">
        <f>8.37*1.1</f>
        <v>9.2070000000000007</v>
      </c>
      <c r="D331" s="20" t="s">
        <v>70</v>
      </c>
    </row>
    <row r="332" spans="1:4" ht="18.75" x14ac:dyDescent="0.3">
      <c r="A332" s="18" t="s">
        <v>36</v>
      </c>
      <c r="B332" s="19" t="s">
        <v>287</v>
      </c>
      <c r="C332" s="27">
        <f>+C327</f>
        <v>229.62500000000003</v>
      </c>
      <c r="D332" s="20" t="s">
        <v>70</v>
      </c>
    </row>
    <row r="333" spans="1:4" ht="18.75" x14ac:dyDescent="0.3">
      <c r="A333" s="2"/>
      <c r="B333" s="36"/>
      <c r="C333" s="27"/>
      <c r="D333" s="17"/>
    </row>
    <row r="334" spans="1:4" ht="18.75" x14ac:dyDescent="0.3">
      <c r="A334" s="8" t="s">
        <v>82</v>
      </c>
      <c r="B334" s="15" t="s">
        <v>129</v>
      </c>
      <c r="C334" s="27"/>
      <c r="D334" s="17"/>
    </row>
    <row r="335" spans="1:4" ht="16.5" customHeight="1" x14ac:dyDescent="0.25">
      <c r="A335" s="18" t="s">
        <v>17</v>
      </c>
      <c r="B335" s="21" t="s">
        <v>130</v>
      </c>
      <c r="C335" s="22">
        <f>181.84*1.05</f>
        <v>190.93200000000002</v>
      </c>
      <c r="D335" s="23" t="s">
        <v>131</v>
      </c>
    </row>
    <row r="336" spans="1:4" ht="16.5" customHeight="1" x14ac:dyDescent="0.25">
      <c r="A336" s="18" t="s">
        <v>20</v>
      </c>
      <c r="B336" s="21" t="s">
        <v>304</v>
      </c>
      <c r="C336" s="22">
        <v>1</v>
      </c>
      <c r="D336" s="25" t="s">
        <v>89</v>
      </c>
    </row>
    <row r="337" spans="1:4" ht="16.5" customHeight="1" x14ac:dyDescent="0.3">
      <c r="A337" s="18" t="s">
        <v>22</v>
      </c>
      <c r="B337" s="19" t="s">
        <v>144</v>
      </c>
      <c r="C337" s="27">
        <v>1</v>
      </c>
      <c r="D337" s="26" t="s">
        <v>89</v>
      </c>
    </row>
    <row r="338" spans="1:4" ht="16.5" customHeight="1" x14ac:dyDescent="0.3">
      <c r="A338" s="18" t="s">
        <v>24</v>
      </c>
      <c r="B338" s="19" t="s">
        <v>145</v>
      </c>
      <c r="C338" s="27">
        <v>1</v>
      </c>
      <c r="D338" s="26" t="s">
        <v>89</v>
      </c>
    </row>
    <row r="339" spans="1:4" ht="16.5" customHeight="1" x14ac:dyDescent="0.3">
      <c r="A339" s="18" t="s">
        <v>27</v>
      </c>
      <c r="B339" s="19" t="s">
        <v>146</v>
      </c>
      <c r="C339" s="27">
        <v>1</v>
      </c>
      <c r="D339" s="26" t="s">
        <v>89</v>
      </c>
    </row>
    <row r="340" spans="1:4" ht="18" customHeight="1" x14ac:dyDescent="0.3">
      <c r="A340" s="18" t="s">
        <v>36</v>
      </c>
      <c r="B340" s="19" t="s">
        <v>290</v>
      </c>
      <c r="C340" s="27">
        <f>+(C335+(1.89*5))*1.05</f>
        <v>210.40110000000001</v>
      </c>
      <c r="D340" s="26" t="s">
        <v>89</v>
      </c>
    </row>
    <row r="341" spans="1:4" ht="16.5" customHeight="1" x14ac:dyDescent="0.3">
      <c r="A341" s="2"/>
      <c r="B341" s="36"/>
      <c r="C341" s="27"/>
      <c r="D341" s="17"/>
    </row>
    <row r="342" spans="1:4" ht="16.5" customHeight="1" x14ac:dyDescent="0.3">
      <c r="A342" s="8" t="s">
        <v>91</v>
      </c>
      <c r="B342" s="15" t="s">
        <v>178</v>
      </c>
      <c r="C342" s="27"/>
      <c r="D342" s="17"/>
    </row>
    <row r="343" spans="1:4" ht="16.5" customHeight="1" x14ac:dyDescent="0.3">
      <c r="A343" s="18" t="s">
        <v>17</v>
      </c>
      <c r="B343" s="19" t="s">
        <v>291</v>
      </c>
      <c r="C343" s="27">
        <v>9</v>
      </c>
      <c r="D343" s="26" t="s">
        <v>89</v>
      </c>
    </row>
    <row r="344" spans="1:4" ht="16.5" customHeight="1" x14ac:dyDescent="0.3">
      <c r="A344" s="18" t="s">
        <v>20</v>
      </c>
      <c r="B344" s="19" t="s">
        <v>180</v>
      </c>
      <c r="C344" s="27">
        <v>10</v>
      </c>
      <c r="D344" s="26" t="s">
        <v>89</v>
      </c>
    </row>
    <row r="345" spans="1:4" ht="16.5" customHeight="1" x14ac:dyDescent="0.3">
      <c r="A345" s="18" t="s">
        <v>22</v>
      </c>
      <c r="B345" s="19" t="s">
        <v>181</v>
      </c>
      <c r="C345" s="27">
        <v>17</v>
      </c>
      <c r="D345" s="26" t="s">
        <v>89</v>
      </c>
    </row>
    <row r="346" spans="1:4" ht="16.5" customHeight="1" x14ac:dyDescent="0.3">
      <c r="A346" s="18" t="s">
        <v>24</v>
      </c>
      <c r="B346" s="19" t="s">
        <v>305</v>
      </c>
      <c r="C346" s="27">
        <v>4</v>
      </c>
      <c r="D346" s="26" t="s">
        <v>89</v>
      </c>
    </row>
    <row r="347" spans="1:4" ht="18.75" x14ac:dyDescent="0.3">
      <c r="A347" s="18" t="s">
        <v>27</v>
      </c>
      <c r="B347" s="19" t="s">
        <v>186</v>
      </c>
      <c r="C347" s="27">
        <v>5</v>
      </c>
      <c r="D347" s="26" t="s">
        <v>89</v>
      </c>
    </row>
    <row r="348" spans="1:4" ht="18.75" x14ac:dyDescent="0.3">
      <c r="A348" s="18" t="s">
        <v>36</v>
      </c>
      <c r="B348" s="19" t="s">
        <v>306</v>
      </c>
      <c r="C348" s="27">
        <v>2</v>
      </c>
      <c r="D348" s="26" t="s">
        <v>89</v>
      </c>
    </row>
    <row r="349" spans="1:4" ht="16.5" customHeight="1" x14ac:dyDescent="0.3">
      <c r="A349" s="2" t="s">
        <v>42</v>
      </c>
      <c r="B349" s="36" t="s">
        <v>293</v>
      </c>
      <c r="C349" s="27">
        <v>32</v>
      </c>
      <c r="D349" s="26" t="s">
        <v>89</v>
      </c>
    </row>
    <row r="350" spans="1:4" ht="16.5" customHeight="1" x14ac:dyDescent="0.3">
      <c r="A350" s="40" t="s">
        <v>44</v>
      </c>
      <c r="B350" s="36" t="s">
        <v>307</v>
      </c>
      <c r="C350" s="27">
        <v>18</v>
      </c>
      <c r="D350" s="26" t="s">
        <v>89</v>
      </c>
    </row>
    <row r="351" spans="1:4" ht="16.5" customHeight="1" x14ac:dyDescent="0.3">
      <c r="A351" s="40"/>
      <c r="B351" s="36"/>
      <c r="C351" s="27"/>
      <c r="D351" s="26"/>
    </row>
    <row r="352" spans="1:4" ht="16.5" customHeight="1" x14ac:dyDescent="0.3">
      <c r="A352" s="34"/>
      <c r="B352" s="77" t="s">
        <v>308</v>
      </c>
      <c r="C352" s="77"/>
      <c r="D352" s="77"/>
    </row>
    <row r="353" spans="1:4" ht="16.5" customHeight="1" x14ac:dyDescent="0.3">
      <c r="A353" s="18"/>
      <c r="B353" s="43"/>
      <c r="C353" s="44"/>
      <c r="D353" s="26"/>
    </row>
    <row r="354" spans="1:4" ht="18.75" x14ac:dyDescent="0.3">
      <c r="A354" s="8" t="s">
        <v>309</v>
      </c>
      <c r="B354" s="15" t="s">
        <v>310</v>
      </c>
      <c r="C354" s="36"/>
      <c r="D354" s="37"/>
    </row>
    <row r="355" spans="1:4" ht="18.75" x14ac:dyDescent="0.3">
      <c r="A355" s="8" t="s">
        <v>15</v>
      </c>
      <c r="B355" s="15" t="s">
        <v>75</v>
      </c>
      <c r="C355" s="36"/>
      <c r="D355" s="37"/>
    </row>
    <row r="356" spans="1:4" ht="16.5" customHeight="1" x14ac:dyDescent="0.3">
      <c r="A356" s="18" t="s">
        <v>17</v>
      </c>
      <c r="B356" s="38" t="s">
        <v>303</v>
      </c>
      <c r="C356" s="27">
        <f>103.99*1.1</f>
        <v>114.38900000000001</v>
      </c>
      <c r="D356" s="26" t="s">
        <v>70</v>
      </c>
    </row>
    <row r="357" spans="1:4" ht="16.5" customHeight="1" x14ac:dyDescent="0.3">
      <c r="A357" s="8"/>
      <c r="B357" s="15"/>
      <c r="C357" s="36"/>
      <c r="D357" s="37"/>
    </row>
    <row r="358" spans="1:4" ht="16.5" customHeight="1" x14ac:dyDescent="0.3">
      <c r="A358" s="8" t="s">
        <v>29</v>
      </c>
      <c r="B358" s="15" t="s">
        <v>286</v>
      </c>
      <c r="C358" s="27"/>
      <c r="D358" s="17"/>
    </row>
    <row r="359" spans="1:4" ht="18.75" x14ac:dyDescent="0.3">
      <c r="A359" s="18" t="s">
        <v>17</v>
      </c>
      <c r="B359" s="19" t="s">
        <v>93</v>
      </c>
      <c r="C359" s="27">
        <f>70.74*1.1</f>
        <v>77.814000000000007</v>
      </c>
      <c r="D359" s="26" t="s">
        <v>70</v>
      </c>
    </row>
    <row r="360" spans="1:4" ht="18.75" x14ac:dyDescent="0.3">
      <c r="A360" s="18" t="s">
        <v>20</v>
      </c>
      <c r="B360" s="19" t="s">
        <v>94</v>
      </c>
      <c r="C360" s="27">
        <f>34.71*1.1</f>
        <v>38.181000000000004</v>
      </c>
      <c r="D360" s="26" t="s">
        <v>70</v>
      </c>
    </row>
    <row r="361" spans="1:4" ht="18.75" x14ac:dyDescent="0.3">
      <c r="A361" s="18" t="s">
        <v>22</v>
      </c>
      <c r="B361" s="19" t="s">
        <v>95</v>
      </c>
      <c r="C361" s="27">
        <f>91.76*1.1</f>
        <v>100.93600000000001</v>
      </c>
      <c r="D361" s="26" t="s">
        <v>73</v>
      </c>
    </row>
    <row r="362" spans="1:4" ht="18.75" x14ac:dyDescent="0.3">
      <c r="A362" s="18" t="s">
        <v>24</v>
      </c>
      <c r="B362" s="19" t="s">
        <v>96</v>
      </c>
      <c r="C362" s="27">
        <f>10.89*1.1</f>
        <v>11.979000000000001</v>
      </c>
      <c r="D362" s="26" t="s">
        <v>70</v>
      </c>
    </row>
    <row r="363" spans="1:4" ht="18.75" x14ac:dyDescent="0.3">
      <c r="A363" s="2"/>
      <c r="B363" s="19"/>
      <c r="C363" s="27"/>
      <c r="D363" s="26"/>
    </row>
    <row r="364" spans="1:4" ht="16.5" customHeight="1" x14ac:dyDescent="0.3">
      <c r="A364" s="8" t="s">
        <v>74</v>
      </c>
      <c r="B364" s="15" t="s">
        <v>114</v>
      </c>
      <c r="C364" s="27"/>
      <c r="D364" s="17"/>
    </row>
    <row r="365" spans="1:4" ht="16.5" customHeight="1" x14ac:dyDescent="0.3">
      <c r="A365" s="18" t="s">
        <v>17</v>
      </c>
      <c r="B365" s="19" t="s">
        <v>288</v>
      </c>
      <c r="C365" s="27">
        <f>+(95.07+83.19)*1.1</f>
        <v>196.08600000000001</v>
      </c>
      <c r="D365" s="20" t="s">
        <v>70</v>
      </c>
    </row>
    <row r="366" spans="1:4" ht="16.5" customHeight="1" x14ac:dyDescent="0.3">
      <c r="A366" s="18" t="s">
        <v>20</v>
      </c>
      <c r="B366" s="19" t="s">
        <v>118</v>
      </c>
      <c r="C366" s="27">
        <f>+(95.07+83.84+10.89)*1.1</f>
        <v>208.78000000000003</v>
      </c>
      <c r="D366" s="20" t="s">
        <v>70</v>
      </c>
    </row>
    <row r="367" spans="1:4" ht="16.5" customHeight="1" x14ac:dyDescent="0.3">
      <c r="A367" s="18" t="s">
        <v>22</v>
      </c>
      <c r="B367" s="19" t="s">
        <v>119</v>
      </c>
      <c r="C367" s="27">
        <f>+(83.19+73.36)*1.1</f>
        <v>172.20500000000001</v>
      </c>
      <c r="D367" s="20" t="s">
        <v>70</v>
      </c>
    </row>
    <row r="368" spans="1:4" ht="16.5" customHeight="1" x14ac:dyDescent="0.3">
      <c r="A368" s="18" t="s">
        <v>24</v>
      </c>
      <c r="B368" s="19" t="s">
        <v>120</v>
      </c>
      <c r="C368" s="27">
        <f>+(34.71+(91.76*0.8))*1.1</f>
        <v>118.9298</v>
      </c>
      <c r="D368" s="20" t="s">
        <v>70</v>
      </c>
    </row>
    <row r="369" spans="1:4" ht="16.5" customHeight="1" x14ac:dyDescent="0.3">
      <c r="A369" s="18" t="s">
        <v>27</v>
      </c>
      <c r="B369" s="19" t="s">
        <v>311</v>
      </c>
      <c r="C369" s="27">
        <f>+C365</f>
        <v>196.08600000000001</v>
      </c>
      <c r="D369" s="20" t="s">
        <v>70</v>
      </c>
    </row>
    <row r="370" spans="1:4" ht="16.5" customHeight="1" x14ac:dyDescent="0.3">
      <c r="A370" s="2"/>
      <c r="B370" s="36"/>
      <c r="C370" s="27"/>
      <c r="D370" s="17"/>
    </row>
    <row r="371" spans="1:4" ht="16.5" customHeight="1" x14ac:dyDescent="0.3">
      <c r="A371" s="8" t="s">
        <v>82</v>
      </c>
      <c r="B371" s="15" t="s">
        <v>129</v>
      </c>
      <c r="C371" s="27"/>
      <c r="D371" s="17"/>
    </row>
    <row r="372" spans="1:4" ht="16.5" customHeight="1" x14ac:dyDescent="0.25">
      <c r="A372" s="18" t="s">
        <v>17</v>
      </c>
      <c r="B372" s="21" t="s">
        <v>130</v>
      </c>
      <c r="C372" s="22">
        <f>181.84*1.1</f>
        <v>200.02400000000003</v>
      </c>
      <c r="D372" s="23" t="s">
        <v>131</v>
      </c>
    </row>
    <row r="373" spans="1:4" ht="16.5" customHeight="1" x14ac:dyDescent="0.25">
      <c r="A373" s="18" t="s">
        <v>20</v>
      </c>
      <c r="B373" s="21" t="s">
        <v>289</v>
      </c>
      <c r="C373" s="22">
        <v>2</v>
      </c>
      <c r="D373" s="25" t="s">
        <v>89</v>
      </c>
    </row>
    <row r="374" spans="1:4" ht="16.5" customHeight="1" x14ac:dyDescent="0.3">
      <c r="A374" s="18" t="s">
        <v>22</v>
      </c>
      <c r="B374" s="19" t="s">
        <v>312</v>
      </c>
      <c r="C374" s="27">
        <v>2</v>
      </c>
      <c r="D374" s="26" t="s">
        <v>89</v>
      </c>
    </row>
    <row r="375" spans="1:4" ht="16.5" customHeight="1" x14ac:dyDescent="0.3">
      <c r="A375" s="18" t="s">
        <v>24</v>
      </c>
      <c r="B375" s="19" t="s">
        <v>145</v>
      </c>
      <c r="C375" s="27">
        <v>2</v>
      </c>
      <c r="D375" s="26" t="s">
        <v>89</v>
      </c>
    </row>
    <row r="376" spans="1:4" ht="16.5" customHeight="1" x14ac:dyDescent="0.3">
      <c r="A376" s="18" t="s">
        <v>27</v>
      </c>
      <c r="B376" s="19" t="s">
        <v>146</v>
      </c>
      <c r="C376" s="27">
        <v>2</v>
      </c>
      <c r="D376" s="26" t="s">
        <v>89</v>
      </c>
    </row>
    <row r="377" spans="1:4" ht="16.5" customHeight="1" x14ac:dyDescent="0.3">
      <c r="A377" s="18" t="s">
        <v>36</v>
      </c>
      <c r="B377" s="19" t="s">
        <v>290</v>
      </c>
      <c r="C377" s="27">
        <f>+(C372+(1.89*10.76*5))*1.1</f>
        <v>331.87660000000005</v>
      </c>
      <c r="D377" s="23" t="s">
        <v>131</v>
      </c>
    </row>
    <row r="378" spans="1:4" ht="16.5" customHeight="1" x14ac:dyDescent="0.3">
      <c r="A378" s="2"/>
      <c r="B378" s="36"/>
      <c r="C378" s="27"/>
      <c r="D378" s="17"/>
    </row>
    <row r="379" spans="1:4" ht="16.5" customHeight="1" x14ac:dyDescent="0.3">
      <c r="A379" s="8" t="s">
        <v>91</v>
      </c>
      <c r="B379" s="15" t="s">
        <v>178</v>
      </c>
      <c r="C379" s="27"/>
      <c r="D379" s="17"/>
    </row>
    <row r="380" spans="1:4" ht="16.5" customHeight="1" x14ac:dyDescent="0.3">
      <c r="A380" s="18" t="s">
        <v>17</v>
      </c>
      <c r="B380" s="19" t="s">
        <v>291</v>
      </c>
      <c r="C380" s="27">
        <v>9</v>
      </c>
      <c r="D380" s="26" t="s">
        <v>89</v>
      </c>
    </row>
    <row r="381" spans="1:4" ht="16.5" customHeight="1" x14ac:dyDescent="0.3">
      <c r="A381" s="18" t="s">
        <v>20</v>
      </c>
      <c r="B381" s="19" t="s">
        <v>180</v>
      </c>
      <c r="C381" s="27">
        <v>10</v>
      </c>
      <c r="D381" s="26" t="s">
        <v>89</v>
      </c>
    </row>
    <row r="382" spans="1:4" ht="16.5" customHeight="1" x14ac:dyDescent="0.3">
      <c r="A382" s="18" t="s">
        <v>22</v>
      </c>
      <c r="B382" s="19" t="s">
        <v>181</v>
      </c>
      <c r="C382" s="27">
        <v>17</v>
      </c>
      <c r="D382" s="26" t="s">
        <v>89</v>
      </c>
    </row>
    <row r="383" spans="1:4" ht="16.5" customHeight="1" x14ac:dyDescent="0.3">
      <c r="A383" s="18" t="s">
        <v>24</v>
      </c>
      <c r="B383" s="19" t="s">
        <v>186</v>
      </c>
      <c r="C383" s="27">
        <v>3</v>
      </c>
      <c r="D383" s="26" t="s">
        <v>89</v>
      </c>
    </row>
    <row r="384" spans="1:4" ht="16.5" customHeight="1" x14ac:dyDescent="0.3">
      <c r="A384" s="18" t="s">
        <v>27</v>
      </c>
      <c r="B384" s="19" t="s">
        <v>187</v>
      </c>
      <c r="C384" s="27">
        <v>2</v>
      </c>
      <c r="D384" s="26" t="s">
        <v>89</v>
      </c>
    </row>
    <row r="385" spans="1:4" ht="16.5" customHeight="1" x14ac:dyDescent="0.3">
      <c r="A385" s="18" t="s">
        <v>36</v>
      </c>
      <c r="B385" s="19" t="s">
        <v>313</v>
      </c>
      <c r="C385" s="27">
        <v>18</v>
      </c>
      <c r="D385" s="26" t="s">
        <v>89</v>
      </c>
    </row>
    <row r="386" spans="1:4" ht="16.5" customHeight="1" x14ac:dyDescent="0.3">
      <c r="A386" s="40" t="s">
        <v>44</v>
      </c>
      <c r="B386" s="36" t="s">
        <v>294</v>
      </c>
      <c r="C386" s="27">
        <v>10</v>
      </c>
      <c r="D386" s="26" t="s">
        <v>89</v>
      </c>
    </row>
    <row r="387" spans="1:4" ht="16.5" customHeight="1" x14ac:dyDescent="0.3">
      <c r="A387" s="40"/>
      <c r="B387" s="36"/>
      <c r="C387" s="27"/>
      <c r="D387" s="26"/>
    </row>
    <row r="388" spans="1:4" ht="16.5" customHeight="1" x14ac:dyDescent="0.3">
      <c r="A388" s="8" t="s">
        <v>91</v>
      </c>
      <c r="B388" s="15" t="s">
        <v>151</v>
      </c>
      <c r="C388" s="13"/>
      <c r="D388" s="17"/>
    </row>
    <row r="389" spans="1:4" ht="16.5" customHeight="1" x14ac:dyDescent="0.3">
      <c r="A389" s="18" t="s">
        <v>17</v>
      </c>
      <c r="B389" s="19" t="s">
        <v>314</v>
      </c>
      <c r="C389" s="13">
        <v>1</v>
      </c>
      <c r="D389" s="26" t="s">
        <v>89</v>
      </c>
    </row>
    <row r="390" spans="1:4" ht="16.5" customHeight="1" x14ac:dyDescent="0.3">
      <c r="A390" s="18"/>
      <c r="B390" s="19"/>
      <c r="C390" s="13"/>
      <c r="D390" s="26"/>
    </row>
    <row r="391" spans="1:4" ht="16.5" customHeight="1" x14ac:dyDescent="0.3">
      <c r="A391" s="8" t="s">
        <v>113</v>
      </c>
      <c r="B391" s="15" t="s">
        <v>230</v>
      </c>
      <c r="C391" s="13"/>
      <c r="D391" s="17"/>
    </row>
    <row r="392" spans="1:4" ht="16.5" customHeight="1" x14ac:dyDescent="0.3">
      <c r="A392" s="18" t="s">
        <v>17</v>
      </c>
      <c r="B392" s="19" t="s">
        <v>315</v>
      </c>
      <c r="C392" s="27">
        <v>1</v>
      </c>
      <c r="D392" s="26" t="s">
        <v>316</v>
      </c>
    </row>
    <row r="393" spans="1:4" ht="16.5" customHeight="1" x14ac:dyDescent="0.3">
      <c r="A393" s="18" t="s">
        <v>20</v>
      </c>
      <c r="B393" s="19" t="s">
        <v>317</v>
      </c>
      <c r="C393" s="45">
        <v>2</v>
      </c>
      <c r="D393" s="26" t="s">
        <v>316</v>
      </c>
    </row>
    <row r="394" spans="1:4" ht="18.75" customHeight="1" x14ac:dyDescent="0.3">
      <c r="A394" s="18" t="s">
        <v>22</v>
      </c>
      <c r="B394" s="24" t="s">
        <v>318</v>
      </c>
      <c r="C394" s="22">
        <v>1</v>
      </c>
      <c r="D394" s="25" t="s">
        <v>316</v>
      </c>
    </row>
    <row r="395" spans="1:4" ht="16.5" customHeight="1" x14ac:dyDescent="0.3">
      <c r="A395" s="18" t="s">
        <v>24</v>
      </c>
      <c r="B395" s="19" t="s">
        <v>319</v>
      </c>
      <c r="C395" s="22">
        <v>1</v>
      </c>
      <c r="D395" s="25" t="s">
        <v>316</v>
      </c>
    </row>
    <row r="396" spans="1:4" ht="16.5" customHeight="1" x14ac:dyDescent="0.3">
      <c r="A396" s="18" t="s">
        <v>27</v>
      </c>
      <c r="B396" s="19" t="s">
        <v>320</v>
      </c>
      <c r="C396" s="27">
        <v>1</v>
      </c>
      <c r="D396" s="26" t="s">
        <v>316</v>
      </c>
    </row>
    <row r="397" spans="1:4" ht="16.5" customHeight="1" x14ac:dyDescent="0.3">
      <c r="A397" s="18" t="s">
        <v>36</v>
      </c>
      <c r="B397" s="19" t="s">
        <v>321</v>
      </c>
      <c r="C397" s="27">
        <v>1</v>
      </c>
      <c r="D397" s="26" t="s">
        <v>316</v>
      </c>
    </row>
    <row r="398" spans="1:4" ht="16.5" customHeight="1" x14ac:dyDescent="0.3">
      <c r="A398" s="18" t="s">
        <v>42</v>
      </c>
      <c r="B398" s="19" t="s">
        <v>322</v>
      </c>
      <c r="C398" s="27">
        <v>2</v>
      </c>
      <c r="D398" s="26" t="s">
        <v>316</v>
      </c>
    </row>
    <row r="399" spans="1:4" ht="16.5" customHeight="1" x14ac:dyDescent="0.3">
      <c r="A399" s="18" t="s">
        <v>44</v>
      </c>
      <c r="B399" s="19" t="s">
        <v>323</v>
      </c>
      <c r="C399" s="27">
        <f>4*3</f>
        <v>12</v>
      </c>
      <c r="D399" s="26" t="s">
        <v>316</v>
      </c>
    </row>
    <row r="400" spans="1:4" ht="16.5" customHeight="1" x14ac:dyDescent="0.3">
      <c r="A400" s="18" t="s">
        <v>46</v>
      </c>
      <c r="B400" s="19" t="s">
        <v>324</v>
      </c>
      <c r="C400" s="27">
        <v>10</v>
      </c>
      <c r="D400" s="26" t="s">
        <v>316</v>
      </c>
    </row>
    <row r="401" spans="1:4" ht="34.5" customHeight="1" x14ac:dyDescent="0.25">
      <c r="A401" s="18" t="s">
        <v>48</v>
      </c>
      <c r="B401" s="21" t="s">
        <v>247</v>
      </c>
      <c r="C401" s="22">
        <f>5.67*1.15</f>
        <v>6.5204999999999993</v>
      </c>
      <c r="D401" s="23" t="s">
        <v>70</v>
      </c>
    </row>
    <row r="402" spans="1:4" ht="16.5" customHeight="1" x14ac:dyDescent="0.3">
      <c r="A402" s="18" t="s">
        <v>50</v>
      </c>
      <c r="B402" s="19" t="s">
        <v>325</v>
      </c>
      <c r="C402" s="27">
        <v>1</v>
      </c>
      <c r="D402" s="26" t="s">
        <v>316</v>
      </c>
    </row>
    <row r="403" spans="1:4" ht="18.75" x14ac:dyDescent="0.3">
      <c r="A403" s="18"/>
      <c r="B403" s="19"/>
      <c r="C403" s="27"/>
      <c r="D403" s="20"/>
    </row>
    <row r="404" spans="1:4" ht="18.75" x14ac:dyDescent="0.3">
      <c r="A404" s="34"/>
      <c r="B404" s="77" t="s">
        <v>326</v>
      </c>
      <c r="C404" s="77"/>
      <c r="D404" s="77"/>
    </row>
    <row r="405" spans="1:4" ht="6.75" customHeight="1" x14ac:dyDescent="0.3">
      <c r="A405" s="34"/>
      <c r="B405" s="41"/>
      <c r="C405" s="41"/>
      <c r="D405" s="41"/>
    </row>
    <row r="406" spans="1:4" ht="16.5" customHeight="1" x14ac:dyDescent="0.3">
      <c r="A406" s="34"/>
      <c r="B406" s="41"/>
      <c r="C406" s="41"/>
      <c r="D406" s="41"/>
    </row>
    <row r="407" spans="1:4" ht="12.75" customHeight="1" x14ac:dyDescent="0.3">
      <c r="A407" s="34"/>
      <c r="B407" s="46"/>
      <c r="C407" s="16"/>
      <c r="D407" s="17"/>
    </row>
    <row r="408" spans="1:4" ht="15" customHeight="1" x14ac:dyDescent="0.3">
      <c r="A408" s="8" t="s">
        <v>327</v>
      </c>
      <c r="B408" s="47" t="s">
        <v>328</v>
      </c>
      <c r="C408" s="16"/>
      <c r="D408" s="48"/>
    </row>
    <row r="409" spans="1:4" ht="17.25" customHeight="1" x14ac:dyDescent="0.3">
      <c r="A409" s="18" t="s">
        <v>329</v>
      </c>
      <c r="B409" s="49" t="s">
        <v>330</v>
      </c>
      <c r="C409" s="27">
        <v>1</v>
      </c>
      <c r="D409" s="20" t="s">
        <v>331</v>
      </c>
    </row>
    <row r="410" spans="1:4" ht="12.75" customHeight="1" x14ac:dyDescent="0.3">
      <c r="A410" s="2"/>
      <c r="B410" s="50"/>
      <c r="C410" s="16"/>
      <c r="D410" s="48"/>
    </row>
    <row r="411" spans="1:4" ht="17.25" customHeight="1" x14ac:dyDescent="0.3">
      <c r="A411" s="2"/>
      <c r="B411" s="78" t="s">
        <v>332</v>
      </c>
      <c r="C411" s="78"/>
      <c r="D411" s="78"/>
    </row>
    <row r="412" spans="1:4" ht="11.25" customHeight="1" x14ac:dyDescent="0.3">
      <c r="A412" s="2"/>
      <c r="B412" s="51"/>
      <c r="C412" s="51"/>
      <c r="D412" s="51"/>
    </row>
    <row r="413" spans="1:4" ht="10.5" customHeight="1" x14ac:dyDescent="0.3">
      <c r="A413" s="2"/>
      <c r="B413" s="36"/>
      <c r="C413" s="36"/>
      <c r="D413" s="36"/>
    </row>
    <row r="414" spans="1:4" ht="18" customHeight="1" x14ac:dyDescent="0.3">
      <c r="A414" s="2"/>
      <c r="B414" s="78" t="s">
        <v>333</v>
      </c>
      <c r="C414" s="78"/>
      <c r="D414" s="78"/>
    </row>
    <row r="415" spans="1:4" ht="18" customHeight="1" x14ac:dyDescent="0.3">
      <c r="A415" s="2"/>
      <c r="B415" s="52"/>
      <c r="C415" s="51"/>
      <c r="D415" s="51"/>
    </row>
    <row r="416" spans="1:4" ht="18" customHeight="1" x14ac:dyDescent="0.3">
      <c r="A416" s="2"/>
      <c r="B416" s="52"/>
      <c r="C416" s="51"/>
      <c r="D416" s="51"/>
    </row>
    <row r="417" spans="1:4" ht="11.25" customHeight="1" x14ac:dyDescent="0.3">
      <c r="A417" s="2"/>
      <c r="B417" s="51"/>
      <c r="C417" s="51"/>
      <c r="D417" s="51"/>
    </row>
    <row r="418" spans="1:4" ht="13.5" customHeight="1" x14ac:dyDescent="0.3">
      <c r="A418" s="2"/>
      <c r="B418" s="47" t="s">
        <v>334</v>
      </c>
      <c r="C418" s="16"/>
      <c r="D418" s="48"/>
    </row>
    <row r="419" spans="1:4" ht="14.25" customHeight="1" x14ac:dyDescent="0.25">
      <c r="A419" s="2"/>
      <c r="B419" s="21" t="s">
        <v>335</v>
      </c>
      <c r="C419" s="21"/>
      <c r="D419" s="21"/>
    </row>
    <row r="420" spans="1:4" ht="15.75" customHeight="1" x14ac:dyDescent="0.25">
      <c r="A420" s="2"/>
      <c r="B420" s="21" t="s">
        <v>336</v>
      </c>
      <c r="C420" s="21"/>
      <c r="D420" s="21"/>
    </row>
    <row r="421" spans="1:4" ht="15" customHeight="1" x14ac:dyDescent="0.25">
      <c r="A421" s="2"/>
      <c r="B421" s="21" t="s">
        <v>337</v>
      </c>
      <c r="C421" s="21"/>
      <c r="D421" s="21"/>
    </row>
    <row r="422" spans="1:4" ht="15.75" customHeight="1" x14ac:dyDescent="0.25">
      <c r="A422" s="2"/>
      <c r="B422" s="21" t="s">
        <v>338</v>
      </c>
      <c r="C422" s="21"/>
      <c r="D422" s="21"/>
    </row>
    <row r="423" spans="1:4" ht="15" customHeight="1" x14ac:dyDescent="0.25">
      <c r="A423" s="2"/>
      <c r="B423" s="21" t="s">
        <v>339</v>
      </c>
      <c r="C423" s="21"/>
      <c r="D423" s="21"/>
    </row>
    <row r="424" spans="1:4" ht="15" customHeight="1" x14ac:dyDescent="0.25">
      <c r="A424" s="2"/>
      <c r="B424" s="21" t="s">
        <v>340</v>
      </c>
      <c r="C424" s="21"/>
      <c r="D424" s="21"/>
    </row>
    <row r="425" spans="1:4" ht="15" customHeight="1" x14ac:dyDescent="0.25">
      <c r="A425" s="2"/>
      <c r="B425" s="21" t="s">
        <v>341</v>
      </c>
      <c r="C425" s="53"/>
      <c r="D425" s="54"/>
    </row>
    <row r="426" spans="1:4" ht="15.75" customHeight="1" x14ac:dyDescent="0.3">
      <c r="A426" s="2"/>
      <c r="B426" s="21" t="s">
        <v>342</v>
      </c>
      <c r="C426" s="55"/>
      <c r="D426" s="56"/>
    </row>
    <row r="427" spans="1:4" ht="12.75" customHeight="1" x14ac:dyDescent="0.3">
      <c r="A427" s="2"/>
      <c r="B427" s="51"/>
      <c r="C427" s="51"/>
      <c r="D427" s="51"/>
    </row>
    <row r="428" spans="1:4" ht="15.75" customHeight="1" x14ac:dyDescent="0.3">
      <c r="A428" s="2"/>
      <c r="B428" s="78" t="s">
        <v>343</v>
      </c>
      <c r="C428" s="78"/>
      <c r="D428" s="78"/>
    </row>
    <row r="429" spans="1:4" ht="12.75" customHeight="1" x14ac:dyDescent="0.3">
      <c r="A429" s="2"/>
      <c r="B429" s="51"/>
      <c r="C429" s="51"/>
      <c r="D429" s="51"/>
    </row>
    <row r="430" spans="1:4" ht="12.75" customHeight="1" x14ac:dyDescent="0.3">
      <c r="A430" s="2"/>
      <c r="B430" s="36"/>
      <c r="C430" s="36"/>
      <c r="D430" s="36"/>
    </row>
    <row r="431" spans="1:4" ht="15.75" customHeight="1" x14ac:dyDescent="0.25">
      <c r="A431" s="2"/>
      <c r="B431" s="79" t="s">
        <v>344</v>
      </c>
      <c r="C431" s="79"/>
      <c r="D431" s="79"/>
    </row>
    <row r="432" spans="1:4" ht="8.25" customHeight="1" x14ac:dyDescent="0.3">
      <c r="A432" s="2"/>
      <c r="B432" s="36"/>
      <c r="C432" s="36"/>
      <c r="D432" s="36"/>
    </row>
    <row r="433" spans="1:4" s="1" customFormat="1" ht="12.75" customHeight="1" x14ac:dyDescent="0.3">
      <c r="A433" s="2"/>
      <c r="B433" s="36"/>
      <c r="C433" s="36"/>
      <c r="D433" s="36"/>
    </row>
    <row r="434" spans="1:4" s="1" customFormat="1" ht="12.75" customHeight="1" x14ac:dyDescent="0.3">
      <c r="A434" s="2"/>
      <c r="B434" s="36"/>
      <c r="C434" s="36"/>
      <c r="D434" s="36"/>
    </row>
    <row r="435" spans="1:4" s="1" customFormat="1" ht="15" customHeight="1" x14ac:dyDescent="0.25">
      <c r="A435" s="2"/>
      <c r="B435" s="80" t="s">
        <v>345</v>
      </c>
      <c r="C435" s="81"/>
      <c r="D435" s="81"/>
    </row>
    <row r="436" spans="1:4" s="1" customFormat="1" ht="38.25" customHeight="1" x14ac:dyDescent="0.25">
      <c r="A436" s="8" t="s">
        <v>346</v>
      </c>
      <c r="B436" s="72" t="s">
        <v>347</v>
      </c>
      <c r="C436" s="72"/>
      <c r="D436" s="72"/>
    </row>
    <row r="437" spans="1:4" s="1" customFormat="1" ht="36.75" customHeight="1" x14ac:dyDescent="0.25">
      <c r="A437" s="8" t="s">
        <v>348</v>
      </c>
      <c r="B437" s="72" t="s">
        <v>349</v>
      </c>
      <c r="C437" s="72"/>
      <c r="D437" s="72"/>
    </row>
    <row r="438" spans="1:4" s="1" customFormat="1" ht="18.75" customHeight="1" x14ac:dyDescent="0.25">
      <c r="A438" s="8" t="s">
        <v>350</v>
      </c>
      <c r="B438" s="72" t="s">
        <v>351</v>
      </c>
      <c r="C438" s="73"/>
      <c r="D438" s="73"/>
    </row>
    <row r="439" spans="1:4" s="1" customFormat="1" ht="12.75" customHeight="1" x14ac:dyDescent="0.3">
      <c r="A439" s="3"/>
      <c r="B439" s="36"/>
      <c r="C439" s="36"/>
      <c r="D439" s="36"/>
    </row>
    <row r="440" spans="1:4" s="1" customFormat="1" ht="12.75" customHeight="1" x14ac:dyDescent="0.3">
      <c r="A440" s="2"/>
      <c r="B440" s="36"/>
      <c r="C440" s="36"/>
      <c r="D440" s="36"/>
    </row>
    <row r="441" spans="1:4" s="1" customFormat="1" ht="15.75" customHeight="1" x14ac:dyDescent="0.3">
      <c r="A441" s="74" t="s">
        <v>352</v>
      </c>
      <c r="B441" s="75"/>
      <c r="C441" s="75"/>
      <c r="D441" s="57"/>
    </row>
    <row r="442" spans="1:4" s="1" customFormat="1" ht="35.25" customHeight="1" x14ac:dyDescent="0.3">
      <c r="A442" s="2"/>
      <c r="B442" s="36"/>
      <c r="C442" s="36"/>
      <c r="D442" s="36"/>
    </row>
    <row r="443" spans="1:4" s="1" customFormat="1" ht="19.5" customHeight="1" x14ac:dyDescent="0.3">
      <c r="A443" s="58"/>
      <c r="B443" s="59" t="s">
        <v>353</v>
      </c>
      <c r="C443" s="60"/>
      <c r="D443" s="19"/>
    </row>
    <row r="444" spans="1:4" s="1" customFormat="1" ht="17.25" customHeight="1" x14ac:dyDescent="0.3">
      <c r="A444" s="58"/>
      <c r="B444" s="72" t="s">
        <v>354</v>
      </c>
      <c r="C444" s="72"/>
      <c r="D444" s="20"/>
    </row>
    <row r="445" spans="1:4" s="1" customFormat="1" ht="17.25" customHeight="1" x14ac:dyDescent="0.3">
      <c r="A445" s="2"/>
      <c r="B445" s="36" t="s">
        <v>355</v>
      </c>
      <c r="C445" s="36"/>
      <c r="D445" s="36"/>
    </row>
    <row r="446" spans="1:4" s="1" customFormat="1" ht="12.75" customHeight="1" x14ac:dyDescent="0.3">
      <c r="A446" s="2"/>
      <c r="B446" s="36"/>
      <c r="C446" s="36"/>
      <c r="D446" s="36"/>
    </row>
    <row r="447" spans="1:4" s="1" customFormat="1" ht="12.75" customHeight="1" x14ac:dyDescent="0.3">
      <c r="A447" s="2"/>
      <c r="B447" s="36"/>
      <c r="C447" s="36"/>
      <c r="D447" s="36"/>
    </row>
    <row r="448" spans="1:4" s="1" customFormat="1" ht="7.5" customHeight="1" x14ac:dyDescent="0.3">
      <c r="A448" s="2"/>
      <c r="B448" s="36"/>
      <c r="C448" s="36"/>
      <c r="D448" s="36"/>
    </row>
    <row r="449" spans="1:4" s="1" customFormat="1" ht="18.75" x14ac:dyDescent="0.25">
      <c r="A449" s="76" t="s">
        <v>356</v>
      </c>
      <c r="B449" s="76"/>
      <c r="C449" s="76"/>
      <c r="D449" s="76"/>
    </row>
    <row r="450" spans="1:4" s="1" customFormat="1" ht="56.25" customHeight="1" x14ac:dyDescent="0.3">
      <c r="A450" s="2"/>
      <c r="B450" s="36"/>
      <c r="C450" s="36"/>
      <c r="D450" s="36"/>
    </row>
    <row r="451" spans="1:4" s="1" customFormat="1" ht="14.25" customHeight="1" x14ac:dyDescent="0.3">
      <c r="A451" s="68" t="s">
        <v>357</v>
      </c>
      <c r="B451" s="68"/>
      <c r="C451" s="68"/>
      <c r="D451" s="68"/>
    </row>
    <row r="452" spans="1:4" s="1" customFormat="1" ht="18.75" customHeight="1" x14ac:dyDescent="0.3">
      <c r="A452" s="68" t="s">
        <v>358</v>
      </c>
      <c r="B452" s="68"/>
      <c r="C452" s="68"/>
      <c r="D452" s="68"/>
    </row>
    <row r="453" spans="1:4" s="1" customFormat="1" ht="9" customHeight="1" x14ac:dyDescent="0.3">
      <c r="A453" s="2"/>
      <c r="B453" s="36"/>
      <c r="C453" s="36"/>
      <c r="D453" s="36"/>
    </row>
    <row r="454" spans="1:4" s="1" customFormat="1" ht="8.25" customHeight="1" x14ac:dyDescent="0.3">
      <c r="A454" s="2"/>
      <c r="B454" s="36"/>
      <c r="C454" s="36"/>
      <c r="D454" s="36"/>
    </row>
    <row r="455" spans="1:4" s="1" customFormat="1" ht="12.75" customHeight="1" x14ac:dyDescent="0.3">
      <c r="A455" s="69" t="s">
        <v>359</v>
      </c>
      <c r="B455" s="70"/>
      <c r="C455" s="36"/>
      <c r="D455" s="36"/>
    </row>
    <row r="456" spans="1:4" s="1" customFormat="1" ht="12.75" customHeight="1" x14ac:dyDescent="0.3">
      <c r="A456" s="69" t="s">
        <v>360</v>
      </c>
      <c r="B456" s="71"/>
      <c r="C456" s="36"/>
      <c r="D456" s="36"/>
    </row>
    <row r="457" spans="1:4" s="1" customFormat="1" ht="12.75" customHeight="1" x14ac:dyDescent="0.25">
      <c r="A457" s="61"/>
      <c r="B457" s="62"/>
      <c r="C457" s="63"/>
      <c r="D457" s="63"/>
    </row>
    <row r="458" spans="1:4" s="1" customFormat="1" ht="12.75" customHeight="1" x14ac:dyDescent="0.25">
      <c r="A458" s="64"/>
      <c r="B458" s="65"/>
      <c r="C458" s="65"/>
      <c r="D458" s="65"/>
    </row>
  </sheetData>
  <mergeCells count="28">
    <mergeCell ref="A6:D6"/>
    <mergeCell ref="A1:D1"/>
    <mergeCell ref="A2:D2"/>
    <mergeCell ref="A3:D3"/>
    <mergeCell ref="B4:D4"/>
    <mergeCell ref="A5:D5"/>
    <mergeCell ref="B435:D435"/>
    <mergeCell ref="A7:D7"/>
    <mergeCell ref="B216:D216"/>
    <mergeCell ref="B238:D238"/>
    <mergeCell ref="B278:D278"/>
    <mergeCell ref="B313:D313"/>
    <mergeCell ref="B352:D352"/>
    <mergeCell ref="B404:D404"/>
    <mergeCell ref="B411:D411"/>
    <mergeCell ref="B414:D414"/>
    <mergeCell ref="B428:D428"/>
    <mergeCell ref="B431:D431"/>
    <mergeCell ref="A451:D451"/>
    <mergeCell ref="A452:D452"/>
    <mergeCell ref="A455:B455"/>
    <mergeCell ref="A456:B456"/>
    <mergeCell ref="B436:D436"/>
    <mergeCell ref="B437:D437"/>
    <mergeCell ref="B438:D438"/>
    <mergeCell ref="A441:C441"/>
    <mergeCell ref="B444:C444"/>
    <mergeCell ref="A449:D449"/>
  </mergeCells>
  <pageMargins left="1.2598425196850394" right="0.23622047244094491" top="0.74803149606299213" bottom="0.74803149606299213" header="0.31496062992125984" footer="0.31496062992125984"/>
  <pageSetup scale="50" orientation="portrait" r:id="rId1"/>
  <headerFooter>
    <oddFooter>&amp;L&amp;K000000&amp;P/&amp;N&amp;RConstrucción Centro de Servicios y Remodelación Departamentos Varios</oddFooter>
  </headerFooter>
  <rowBreaks count="6" manualBreakCount="6">
    <brk id="69" max="3" man="1"/>
    <brk id="132" max="3" man="1"/>
    <brk id="191" max="3" man="1"/>
    <brk id="252" max="3" man="1"/>
    <brk id="325" max="3" man="1"/>
    <brk id="39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</vt:lpstr>
      <vt:lpstr>'Listado de Partidas'!Área_de_impresión</vt:lpstr>
      <vt:lpstr>'Listado de Partidas'!Títulos_a_imprimir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Sharlyn Josefina Tavarez Orozco</dc:creator>
  <cp:lastModifiedBy>Jonás Sención</cp:lastModifiedBy>
  <dcterms:created xsi:type="dcterms:W3CDTF">2019-04-17T22:00:23Z</dcterms:created>
  <dcterms:modified xsi:type="dcterms:W3CDTF">2019-04-23T14:38:05Z</dcterms:modified>
</cp:coreProperties>
</file>